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tusznio\Desktop\"/>
    </mc:Choice>
  </mc:AlternateContent>
  <bookViews>
    <workbookView xWindow="0" yWindow="0" windowWidth="28800" windowHeight="12210" tabRatio="602" firstSheet="2" activeTab="2"/>
  </bookViews>
  <sheets>
    <sheet name="Oczekiwania" sheetId="1" state="hidden" r:id="rId1"/>
    <sheet name="Dane" sheetId="2" state="hidden" r:id="rId2"/>
    <sheet name="Rachunek kosztów" sheetId="7" r:id="rId3"/>
  </sheets>
  <definedNames>
    <definedName name="_xlnm.Print_Area" localSheetId="0">Oczekiwania!$B$4:$O$48</definedName>
    <definedName name="_xlnm.Print_Area" localSheetId="2">'Rachunek kosztów'!$B$3:$O$45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7" l="1"/>
  <c r="Z10" i="7" l="1"/>
  <c r="Z11" i="7"/>
  <c r="Z12" i="7"/>
  <c r="Z13" i="7"/>
  <c r="W6" i="7" l="1"/>
  <c r="W7" i="7"/>
  <c r="W8" i="7"/>
  <c r="W9" i="7"/>
  <c r="W10" i="7"/>
  <c r="W11" i="7"/>
  <c r="W12" i="7"/>
  <c r="W13" i="7"/>
  <c r="W5" i="7"/>
  <c r="AC8" i="7" l="1"/>
  <c r="O31" i="7" l="1"/>
  <c r="M31" i="7"/>
  <c r="I29" i="7"/>
  <c r="W15" i="7" l="1"/>
  <c r="U15" i="7"/>
  <c r="R15" i="7"/>
  <c r="Q15" i="7"/>
  <c r="V13" i="7"/>
  <c r="U13" i="7"/>
  <c r="T13" i="7"/>
  <c r="R13" i="7"/>
  <c r="Q13" i="7"/>
  <c r="S13" i="7" s="1"/>
  <c r="V12" i="7"/>
  <c r="U12" i="7"/>
  <c r="R12" i="7"/>
  <c r="Q12" i="7"/>
  <c r="S12" i="7" s="1"/>
  <c r="V11" i="7"/>
  <c r="U11" i="7"/>
  <c r="R11" i="7"/>
  <c r="Q11" i="7"/>
  <c r="S11" i="7" s="1"/>
  <c r="V10" i="7"/>
  <c r="U10" i="7"/>
  <c r="R10" i="7"/>
  <c r="Q10" i="7"/>
  <c r="S10" i="7" s="1"/>
  <c r="V9" i="7"/>
  <c r="U9" i="7"/>
  <c r="R9" i="7"/>
  <c r="Q9" i="7"/>
  <c r="V8" i="7"/>
  <c r="U8" i="7"/>
  <c r="R8" i="7"/>
  <c r="Q8" i="7"/>
  <c r="V7" i="7"/>
  <c r="U7" i="7"/>
  <c r="R7" i="7"/>
  <c r="Q7" i="7"/>
  <c r="V6" i="7"/>
  <c r="U6" i="7"/>
  <c r="R6" i="7"/>
  <c r="Q6" i="7"/>
  <c r="V5" i="7"/>
  <c r="U5" i="7"/>
  <c r="X5" i="7" s="1"/>
  <c r="R5" i="7"/>
  <c r="Q5" i="7"/>
  <c r="AE8" i="7" l="1"/>
  <c r="AE12" i="7"/>
  <c r="AD7" i="7"/>
  <c r="AD11" i="7"/>
  <c r="AE9" i="7"/>
  <c r="AE13" i="7"/>
  <c r="AD8" i="7"/>
  <c r="AD12" i="7"/>
  <c r="AE6" i="7"/>
  <c r="AE10" i="7"/>
  <c r="AE5" i="7"/>
  <c r="AD9" i="7"/>
  <c r="AD13" i="7"/>
  <c r="AE7" i="7"/>
  <c r="AE11" i="7"/>
  <c r="AD6" i="7"/>
  <c r="AD10" i="7"/>
  <c r="AD5" i="7"/>
  <c r="T11" i="7"/>
  <c r="X11" i="7"/>
  <c r="Y11" i="7"/>
  <c r="S15" i="7"/>
  <c r="Z15" i="7" s="1"/>
  <c r="S6" i="7"/>
  <c r="S9" i="7"/>
  <c r="T9" i="7"/>
  <c r="Z9" i="7" s="1"/>
  <c r="T12" i="7"/>
  <c r="X12" i="7"/>
  <c r="Y12" i="7"/>
  <c r="X13" i="7"/>
  <c r="T10" i="7"/>
  <c r="Y13" i="7"/>
  <c r="X10" i="7"/>
  <c r="Y10" i="7"/>
  <c r="Y5" i="7"/>
  <c r="Y6" i="7" s="1"/>
  <c r="X6" i="7"/>
  <c r="X7" i="7"/>
  <c r="T7" i="7"/>
  <c r="Z7" i="7" s="1"/>
  <c r="S5" i="7"/>
  <c r="T8" i="7"/>
  <c r="Z8" i="7" s="1"/>
  <c r="T6" i="7"/>
  <c r="Z6" i="7" s="1"/>
  <c r="T5" i="7"/>
  <c r="Z5" i="7" s="1"/>
  <c r="S7" i="7"/>
  <c r="S8" i="7"/>
  <c r="AB5" i="7" l="1"/>
  <c r="AC5" i="7" s="1"/>
  <c r="AB6" i="7"/>
  <c r="AC6" i="7" s="1"/>
  <c r="E20" i="7" s="1"/>
  <c r="Y7" i="7"/>
  <c r="Y8" i="7" s="1"/>
  <c r="Y9" i="7" s="1"/>
  <c r="X8" i="7"/>
  <c r="X9" i="7" s="1"/>
  <c r="AB8" i="7"/>
  <c r="E23" i="7" l="1"/>
  <c r="K17" i="7"/>
  <c r="AB10" i="7"/>
  <c r="AC10" i="7" s="1"/>
  <c r="AB11" i="7"/>
  <c r="AC11" i="7" s="1"/>
  <c r="AB13" i="7"/>
  <c r="AC13" i="7" s="1"/>
  <c r="AB12" i="7"/>
  <c r="AC12" i="7" s="1"/>
  <c r="G27" i="7"/>
  <c r="K27" i="7" s="1"/>
  <c r="K21" i="7"/>
  <c r="G20" i="7"/>
  <c r="K20" i="7" s="1"/>
  <c r="I134" i="2"/>
  <c r="H134" i="2"/>
  <c r="G134" i="2"/>
  <c r="F134" i="2"/>
  <c r="I133" i="2"/>
  <c r="H133" i="2"/>
  <c r="G133" i="2"/>
  <c r="F133" i="2"/>
  <c r="I132" i="2"/>
  <c r="H132" i="2"/>
  <c r="G132" i="2"/>
  <c r="F132" i="2"/>
  <c r="I131" i="2"/>
  <c r="H131" i="2"/>
  <c r="G131" i="2"/>
  <c r="F131" i="2"/>
  <c r="I130" i="2"/>
  <c r="H130" i="2"/>
  <c r="G130" i="2"/>
  <c r="F130" i="2"/>
  <c r="I129" i="2"/>
  <c r="H129" i="2"/>
  <c r="G129" i="2"/>
  <c r="F129" i="2"/>
  <c r="I128" i="2"/>
  <c r="H128" i="2"/>
  <c r="G128" i="2"/>
  <c r="F128" i="2"/>
  <c r="I127" i="2"/>
  <c r="H127" i="2"/>
  <c r="G127" i="2"/>
  <c r="F127" i="2"/>
  <c r="I126" i="2"/>
  <c r="H126" i="2"/>
  <c r="G126" i="2"/>
  <c r="F126" i="2"/>
  <c r="I125" i="2"/>
  <c r="H125" i="2"/>
  <c r="G125" i="2"/>
  <c r="F125" i="2"/>
  <c r="I124" i="2"/>
  <c r="H124" i="2"/>
  <c r="G124" i="2"/>
  <c r="F124" i="2"/>
  <c r="I123" i="2"/>
  <c r="H123" i="2"/>
  <c r="G123" i="2"/>
  <c r="F123" i="2"/>
  <c r="I122" i="2"/>
  <c r="H122" i="2"/>
  <c r="G122" i="2"/>
  <c r="F122" i="2"/>
  <c r="I121" i="2"/>
  <c r="H121" i="2"/>
  <c r="G121" i="2"/>
  <c r="F121" i="2"/>
  <c r="I120" i="2"/>
  <c r="H120" i="2"/>
  <c r="G120" i="2"/>
  <c r="F120" i="2"/>
  <c r="I119" i="2"/>
  <c r="H119" i="2"/>
  <c r="G119" i="2"/>
  <c r="F119" i="2"/>
  <c r="I118" i="2"/>
  <c r="H118" i="2"/>
  <c r="G118" i="2"/>
  <c r="F118" i="2"/>
  <c r="I117" i="2"/>
  <c r="H117" i="2"/>
  <c r="G117" i="2"/>
  <c r="F117" i="2"/>
  <c r="I116" i="2"/>
  <c r="H116" i="2"/>
  <c r="G116" i="2"/>
  <c r="F116" i="2"/>
  <c r="I115" i="2"/>
  <c r="H115" i="2"/>
  <c r="G115" i="2"/>
  <c r="F115" i="2"/>
  <c r="I114" i="2"/>
  <c r="H114" i="2"/>
  <c r="G114" i="2"/>
  <c r="F114" i="2"/>
  <c r="I113" i="2"/>
  <c r="H113" i="2"/>
  <c r="G113" i="2"/>
  <c r="F113" i="2"/>
  <c r="I112" i="2"/>
  <c r="H112" i="2"/>
  <c r="G112" i="2"/>
  <c r="F112" i="2"/>
  <c r="I111" i="2"/>
  <c r="H111" i="2"/>
  <c r="G111" i="2"/>
  <c r="F111" i="2"/>
  <c r="I110" i="2"/>
  <c r="H110" i="2"/>
  <c r="G110" i="2"/>
  <c r="F110" i="2"/>
  <c r="I109" i="2"/>
  <c r="H109" i="2"/>
  <c r="G109" i="2"/>
  <c r="F109" i="2"/>
  <c r="I108" i="2"/>
  <c r="H108" i="2"/>
  <c r="G108" i="2"/>
  <c r="F108" i="2"/>
  <c r="I107" i="2"/>
  <c r="H107" i="2"/>
  <c r="G107" i="2"/>
  <c r="F107" i="2"/>
  <c r="I106" i="2"/>
  <c r="H106" i="2"/>
  <c r="G106" i="2"/>
  <c r="F106" i="2"/>
  <c r="I105" i="2"/>
  <c r="H105" i="2"/>
  <c r="G105" i="2"/>
  <c r="F105" i="2"/>
  <c r="I104" i="2"/>
  <c r="H104" i="2"/>
  <c r="G104" i="2"/>
  <c r="F104" i="2"/>
  <c r="I103" i="2"/>
  <c r="H103" i="2"/>
  <c r="G103" i="2"/>
  <c r="F103" i="2"/>
  <c r="I102" i="2"/>
  <c r="H102" i="2"/>
  <c r="G102" i="2"/>
  <c r="F102" i="2"/>
  <c r="I101" i="2"/>
  <c r="H101" i="2"/>
  <c r="G101" i="2"/>
  <c r="F101" i="2"/>
  <c r="I100" i="2"/>
  <c r="H100" i="2"/>
  <c r="G100" i="2"/>
  <c r="F100" i="2"/>
  <c r="I99" i="2"/>
  <c r="H99" i="2"/>
  <c r="G99" i="2"/>
  <c r="F99" i="2"/>
  <c r="I98" i="2"/>
  <c r="H98" i="2"/>
  <c r="G98" i="2"/>
  <c r="F98" i="2"/>
  <c r="I97" i="2"/>
  <c r="H97" i="2"/>
  <c r="G97" i="2"/>
  <c r="F97" i="2"/>
  <c r="I96" i="2"/>
  <c r="H96" i="2"/>
  <c r="G96" i="2"/>
  <c r="F96" i="2"/>
  <c r="I95" i="2"/>
  <c r="H95" i="2"/>
  <c r="G95" i="2"/>
  <c r="F95" i="2"/>
  <c r="I94" i="2"/>
  <c r="H94" i="2"/>
  <c r="G94" i="2"/>
  <c r="F94" i="2"/>
  <c r="I93" i="2"/>
  <c r="K24" i="1" s="1"/>
  <c r="H93" i="2"/>
  <c r="G93" i="2"/>
  <c r="F93" i="2"/>
  <c r="I92" i="2"/>
  <c r="H92" i="2"/>
  <c r="G92" i="2"/>
  <c r="F92" i="2"/>
  <c r="I91" i="2"/>
  <c r="H91" i="2"/>
  <c r="G91" i="2"/>
  <c r="F91" i="2"/>
  <c r="I90" i="2"/>
  <c r="H90" i="2"/>
  <c r="G90" i="2"/>
  <c r="F90" i="2"/>
  <c r="I89" i="2"/>
  <c r="H89" i="2"/>
  <c r="G89" i="2"/>
  <c r="F89" i="2"/>
  <c r="I88" i="2"/>
  <c r="H88" i="2"/>
  <c r="G88" i="2"/>
  <c r="F88" i="2"/>
  <c r="I87" i="2"/>
  <c r="H87" i="2"/>
  <c r="G87" i="2"/>
  <c r="F87" i="2"/>
  <c r="I86" i="2"/>
  <c r="H86" i="2"/>
  <c r="G86" i="2"/>
  <c r="F86" i="2"/>
  <c r="I85" i="2"/>
  <c r="H85" i="2"/>
  <c r="G85" i="2"/>
  <c r="F85" i="2"/>
  <c r="I84" i="2"/>
  <c r="H84" i="2"/>
  <c r="G84" i="2"/>
  <c r="F84" i="2"/>
  <c r="I83" i="2"/>
  <c r="H83" i="2"/>
  <c r="G83" i="2"/>
  <c r="F83" i="2"/>
  <c r="I82" i="2"/>
  <c r="H82" i="2"/>
  <c r="G82" i="2"/>
  <c r="F82" i="2"/>
  <c r="I81" i="2"/>
  <c r="H81" i="2"/>
  <c r="G81" i="2"/>
  <c r="F81" i="2"/>
  <c r="I80" i="2"/>
  <c r="H80" i="2"/>
  <c r="G80" i="2"/>
  <c r="F80" i="2"/>
  <c r="I79" i="2"/>
  <c r="H79" i="2"/>
  <c r="G79" i="2"/>
  <c r="F79" i="2"/>
  <c r="I78" i="2"/>
  <c r="H78" i="2"/>
  <c r="G78" i="2"/>
  <c r="F78" i="2"/>
  <c r="I77" i="2"/>
  <c r="H77" i="2"/>
  <c r="G77" i="2"/>
  <c r="F77" i="2"/>
  <c r="I76" i="2"/>
  <c r="H76" i="2"/>
  <c r="G76" i="2"/>
  <c r="F76" i="2"/>
  <c r="I75" i="2"/>
  <c r="H75" i="2"/>
  <c r="G75" i="2"/>
  <c r="F75" i="2"/>
  <c r="I74" i="2"/>
  <c r="H74" i="2"/>
  <c r="G74" i="2"/>
  <c r="F74" i="2"/>
  <c r="I73" i="2"/>
  <c r="H73" i="2"/>
  <c r="G73" i="2"/>
  <c r="F73" i="2"/>
  <c r="I72" i="2"/>
  <c r="H72" i="2"/>
  <c r="G72" i="2"/>
  <c r="F72" i="2"/>
  <c r="I71" i="2"/>
  <c r="H71" i="2"/>
  <c r="G71" i="2"/>
  <c r="F71" i="2"/>
  <c r="I70" i="2"/>
  <c r="H70" i="2"/>
  <c r="G70" i="2"/>
  <c r="F70" i="2"/>
  <c r="I69" i="2"/>
  <c r="H69" i="2"/>
  <c r="G69" i="2"/>
  <c r="F69" i="2"/>
  <c r="I68" i="2"/>
  <c r="H68" i="2"/>
  <c r="G68" i="2"/>
  <c r="F68" i="2"/>
  <c r="I67" i="2"/>
  <c r="H67" i="2"/>
  <c r="G67" i="2"/>
  <c r="F67" i="2"/>
  <c r="I66" i="2"/>
  <c r="H66" i="2"/>
  <c r="G66" i="2"/>
  <c r="F66" i="2"/>
  <c r="I65" i="2"/>
  <c r="H65" i="2"/>
  <c r="G65" i="2"/>
  <c r="F65" i="2"/>
  <c r="I64" i="2"/>
  <c r="H64" i="2"/>
  <c r="G64" i="2"/>
  <c r="F64" i="2"/>
  <c r="I63" i="2"/>
  <c r="H63" i="2"/>
  <c r="G63" i="2"/>
  <c r="F63" i="2"/>
  <c r="I62" i="2"/>
  <c r="H62" i="2"/>
  <c r="G62" i="2"/>
  <c r="F62" i="2"/>
  <c r="I61" i="2"/>
  <c r="H61" i="2"/>
  <c r="G61" i="2"/>
  <c r="F61" i="2"/>
  <c r="I60" i="2"/>
  <c r="H60" i="2"/>
  <c r="G60" i="2"/>
  <c r="F60" i="2"/>
  <c r="I59" i="2"/>
  <c r="H59" i="2"/>
  <c r="G59" i="2"/>
  <c r="F59" i="2"/>
  <c r="I58" i="2"/>
  <c r="H58" i="2"/>
  <c r="G58" i="2"/>
  <c r="F58" i="2"/>
  <c r="I57" i="2"/>
  <c r="H57" i="2"/>
  <c r="G57" i="2"/>
  <c r="F57" i="2"/>
  <c r="I56" i="2"/>
  <c r="H56" i="2"/>
  <c r="G56" i="2"/>
  <c r="F56" i="2"/>
  <c r="I55" i="2"/>
  <c r="H55" i="2"/>
  <c r="G55" i="2"/>
  <c r="F55" i="2"/>
  <c r="I54" i="2"/>
  <c r="H54" i="2"/>
  <c r="G54" i="2"/>
  <c r="F54" i="2"/>
  <c r="I53" i="2"/>
  <c r="H53" i="2"/>
  <c r="G53" i="2"/>
  <c r="F53" i="2"/>
  <c r="I52" i="2"/>
  <c r="H52" i="2"/>
  <c r="G52" i="2"/>
  <c r="F52" i="2"/>
  <c r="I51" i="2"/>
  <c r="H51" i="2"/>
  <c r="G51" i="2"/>
  <c r="F51" i="2"/>
  <c r="I50" i="2"/>
  <c r="H50" i="2"/>
  <c r="G50" i="2"/>
  <c r="F50" i="2"/>
  <c r="I49" i="2"/>
  <c r="H49" i="2"/>
  <c r="G49" i="2"/>
  <c r="F49" i="2"/>
  <c r="I48" i="2"/>
  <c r="H48" i="2"/>
  <c r="G48" i="2"/>
  <c r="F48" i="2"/>
  <c r="I47" i="2"/>
  <c r="H47" i="2"/>
  <c r="G47" i="2"/>
  <c r="F47" i="2"/>
  <c r="I46" i="2"/>
  <c r="H46" i="2"/>
  <c r="G46" i="2"/>
  <c r="F46" i="2"/>
  <c r="I45" i="2"/>
  <c r="H45" i="2"/>
  <c r="G45" i="2"/>
  <c r="F45" i="2"/>
  <c r="I44" i="2"/>
  <c r="H44" i="2"/>
  <c r="G44" i="2"/>
  <c r="F44" i="2"/>
  <c r="I43" i="2"/>
  <c r="H43" i="2"/>
  <c r="G43" i="2"/>
  <c r="F43" i="2"/>
  <c r="I42" i="2"/>
  <c r="H42" i="2"/>
  <c r="G42" i="2"/>
  <c r="F42" i="2"/>
  <c r="I41" i="2"/>
  <c r="H41" i="2"/>
  <c r="G41" i="2"/>
  <c r="F41" i="2"/>
  <c r="I40" i="2"/>
  <c r="H40" i="2"/>
  <c r="G40" i="2"/>
  <c r="F40" i="2"/>
  <c r="I39" i="2"/>
  <c r="H39" i="2"/>
  <c r="G39" i="2"/>
  <c r="F39" i="2"/>
  <c r="I38" i="2"/>
  <c r="H38" i="2"/>
  <c r="G38" i="2"/>
  <c r="F38" i="2"/>
  <c r="I37" i="2"/>
  <c r="H37" i="2"/>
  <c r="G37" i="2"/>
  <c r="F37" i="2"/>
  <c r="I36" i="2"/>
  <c r="H36" i="2"/>
  <c r="G36" i="2"/>
  <c r="F36" i="2"/>
  <c r="I35" i="2"/>
  <c r="H35" i="2"/>
  <c r="G35" i="2"/>
  <c r="F35" i="2"/>
  <c r="I34" i="2"/>
  <c r="H34" i="2"/>
  <c r="G34" i="2"/>
  <c r="F34" i="2"/>
  <c r="I33" i="2"/>
  <c r="H33" i="2"/>
  <c r="G33" i="2"/>
  <c r="F33" i="2"/>
  <c r="I32" i="2"/>
  <c r="H32" i="2"/>
  <c r="G32" i="2"/>
  <c r="F32" i="2"/>
  <c r="I31" i="2"/>
  <c r="H31" i="2"/>
  <c r="G31" i="2"/>
  <c r="F31" i="2"/>
  <c r="I30" i="2"/>
  <c r="H30" i="2"/>
  <c r="G30" i="2"/>
  <c r="F30" i="2"/>
  <c r="I29" i="2"/>
  <c r="H29" i="2"/>
  <c r="G29" i="2"/>
  <c r="F29" i="2"/>
  <c r="I28" i="2"/>
  <c r="H28" i="2"/>
  <c r="G28" i="2"/>
  <c r="F28" i="2"/>
  <c r="I27" i="2"/>
  <c r="H27" i="2"/>
  <c r="G27" i="2"/>
  <c r="F27" i="2"/>
  <c r="I26" i="2"/>
  <c r="H26" i="2"/>
  <c r="G26" i="2"/>
  <c r="F26" i="2"/>
  <c r="I25" i="2"/>
  <c r="H25" i="2"/>
  <c r="G25" i="2"/>
  <c r="F25" i="2"/>
  <c r="I24" i="2"/>
  <c r="H24" i="2"/>
  <c r="G24" i="2"/>
  <c r="F24" i="2"/>
  <c r="I23" i="2"/>
  <c r="H23" i="2"/>
  <c r="G23" i="2"/>
  <c r="F23" i="2"/>
  <c r="I22" i="2"/>
  <c r="H22" i="2"/>
  <c r="G22" i="2"/>
  <c r="F22" i="2"/>
  <c r="I21" i="2"/>
  <c r="H21" i="2"/>
  <c r="G21" i="2"/>
  <c r="F21" i="2"/>
  <c r="I20" i="2"/>
  <c r="H20" i="2"/>
  <c r="G20" i="2"/>
  <c r="F20" i="2"/>
  <c r="C7" i="2"/>
  <c r="C6" i="2"/>
  <c r="C5" i="2"/>
  <c r="G23" i="7" l="1"/>
  <c r="AB7" i="7"/>
  <c r="K21" i="1"/>
  <c r="K23" i="7" l="1"/>
  <c r="I23" i="7"/>
  <c r="E18" i="7"/>
  <c r="G18" i="7" s="1"/>
  <c r="XFD19" i="1"/>
  <c r="I18" i="7" l="1"/>
  <c r="G28" i="7"/>
  <c r="I28" i="7" l="1"/>
  <c r="I31" i="7" s="1"/>
  <c r="K28" i="7"/>
  <c r="K31" i="7" s="1"/>
</calcChain>
</file>

<file path=xl/sharedStrings.xml><?xml version="1.0" encoding="utf-8"?>
<sst xmlns="http://schemas.openxmlformats.org/spreadsheetml/2006/main" count="483" uniqueCount="301">
  <si>
    <t>RACHUNEK KOSZTÓW PODRÓŻY</t>
  </si>
  <si>
    <t>Krajowa:</t>
  </si>
  <si>
    <t>POLECENIE WYJAZDU NR</t>
  </si>
  <si>
    <t>Miejscowość wyjazdu</t>
  </si>
  <si>
    <t>Data wyjazdu</t>
  </si>
  <si>
    <t>Godzina wyjazdu</t>
  </si>
  <si>
    <t>Miejscowość przyjazdu</t>
  </si>
  <si>
    <t>Data przyjazdu</t>
  </si>
  <si>
    <t>Godzina przyjazdu</t>
  </si>
  <si>
    <t>Środek lokomocji</t>
  </si>
  <si>
    <t>RODZAJE ŚWIADCZEŃ DELEGOWANEGO</t>
  </si>
  <si>
    <t>Rodzaje świadczeń</t>
  </si>
  <si>
    <t>Ilość</t>
  </si>
  <si>
    <t>Stawka</t>
  </si>
  <si>
    <t>Waluta PLN</t>
  </si>
  <si>
    <t>Waluta obca</t>
  </si>
  <si>
    <t>Dieta krajowa</t>
  </si>
  <si>
    <t>-</t>
  </si>
  <si>
    <t xml:space="preserve">Śniadania: </t>
  </si>
  <si>
    <t>Obiad:</t>
  </si>
  <si>
    <t>Kolacja:</t>
  </si>
  <si>
    <r>
      <rPr>
        <sz val="9"/>
        <rFont val="Calibri"/>
        <family val="2"/>
      </rPr>
      <t>Dieta zagraniczna</t>
    </r>
  </si>
  <si>
    <t>Nocleg: ryczałt</t>
  </si>
  <si>
    <t>Koszty podróży</t>
  </si>
  <si>
    <t>Przejazd</t>
  </si>
  <si>
    <t>Opłata wstępu</t>
  </si>
  <si>
    <t>Dieta dojazdowa</t>
  </si>
  <si>
    <t>Ryczałt kosztów dojazdu*</t>
  </si>
  <si>
    <t>RAZEM:</t>
  </si>
  <si>
    <r>
      <t xml:space="preserve">Niniejszy rachunek przedkładam. Wnioskuję o wypłatę należnej mi kwoty w walucie  </t>
    </r>
    <r>
      <rPr>
        <b/>
        <sz val="10"/>
        <rFont val="Calibri"/>
        <family val="2"/>
        <charset val="238"/>
      </rPr>
      <t xml:space="preserve"> obce</t>
    </r>
    <r>
      <rPr>
        <sz val="10"/>
        <rFont val="Calibri"/>
        <family val="2"/>
        <charset val="238"/>
      </rPr>
      <t>j/lub jej równowartości w</t>
    </r>
    <r>
      <rPr>
        <b/>
        <sz val="10"/>
        <rFont val="Calibri"/>
        <family val="2"/>
        <charset val="238"/>
      </rPr>
      <t xml:space="preserve"> PLN </t>
    </r>
    <r>
      <rPr>
        <sz val="10"/>
        <rFont val="Calibri"/>
        <family val="2"/>
        <charset val="238"/>
      </rPr>
      <t xml:space="preserve"> (zaznacz  walutę).
Nr rachunku: ………….………………………………………………..............................................................   Data i podpis delegowanego
</t>
    </r>
    <r>
      <rPr>
        <i/>
        <sz val="9"/>
        <rFont val="Calibri"/>
        <family val="2"/>
        <charset val="238"/>
      </rPr>
      <t>(jeżeli inny niż podany pracodawcy do wypłaty wynagrodzeń)</t>
    </r>
    <r>
      <rPr>
        <i/>
        <sz val="10"/>
        <rFont val="Calibri"/>
        <family val="2"/>
        <charset val="238"/>
      </rPr>
      <t xml:space="preserve">     </t>
    </r>
    <r>
      <rPr>
        <sz val="10"/>
        <rFont val="Calibri"/>
        <family val="2"/>
        <charset val="238"/>
      </rPr>
      <t xml:space="preserve">                                           
                                                                                                                                                        </t>
    </r>
  </si>
  <si>
    <t>SZCZEGÓŁY ROZLICZENIA</t>
  </si>
  <si>
    <r>
      <rPr>
        <sz val="10"/>
        <rFont val="Calibri"/>
        <family val="2"/>
      </rPr>
      <t>Pobrana zaliczka w PLN</t>
    </r>
  </si>
  <si>
    <r>
      <rPr>
        <sz val="10"/>
        <rFont val="Calibri"/>
        <family val="2"/>
      </rPr>
      <t>Pobrana zaliczka w walucie</t>
    </r>
  </si>
  <si>
    <r>
      <rPr>
        <sz val="10"/>
        <rFont val="Calibri"/>
        <family val="2"/>
      </rPr>
      <t>Tabela</t>
    </r>
  </si>
  <si>
    <r>
      <rPr>
        <sz val="10"/>
        <rFont val="Calibri"/>
        <family val="2"/>
      </rPr>
      <t>Kurs waluty</t>
    </r>
  </si>
  <si>
    <r>
      <rPr>
        <sz val="10"/>
        <rFont val="Calibri"/>
        <family val="2"/>
      </rPr>
      <t>Wydatki w PLN</t>
    </r>
  </si>
  <si>
    <t xml:space="preserve">Wydatki w walucie </t>
  </si>
  <si>
    <r>
      <rPr>
        <sz val="10"/>
        <rFont val="Calibri"/>
        <family val="2"/>
      </rPr>
      <t>Rozliczenie w PLN</t>
    </r>
  </si>
  <si>
    <t>DFK:</t>
  </si>
  <si>
    <t>Równowartość w PLN</t>
  </si>
  <si>
    <t>Rozliczenie w walucie</t>
  </si>
  <si>
    <t>Przelew</t>
  </si>
  <si>
    <t>Ubezpieczenie* (1)</t>
  </si>
  <si>
    <t>Kwota do wypłaty/zwrotu w PLN: 
Słownie:</t>
  </si>
  <si>
    <t>Kwota do wypłaty/zwrotu w walucie: 
Słownie:</t>
  </si>
  <si>
    <t>Rachunek sprawdzono pod względem:</t>
  </si>
  <si>
    <t>Zatwierdzono do wypłaty:</t>
  </si>
  <si>
    <t>Merytorycznym</t>
  </si>
  <si>
    <t>Formalnym i rachunkowym</t>
  </si>
  <si>
    <t>Główny księgowy</t>
  </si>
  <si>
    <t>Dyrektor</t>
  </si>
  <si>
    <r>
      <rPr>
        <b/>
        <sz val="9"/>
        <rFont val="Calibri"/>
        <family val="2"/>
        <charset val="238"/>
      </rPr>
      <t>"Ryczałt kosztów dojazdu"</t>
    </r>
    <r>
      <rPr>
        <sz val="9"/>
        <rFont val="Calibri"/>
        <family val="2"/>
        <charset val="238"/>
      </rPr>
      <t xml:space="preserve"> dotyczy komunikacji miejscowej </t>
    </r>
    <r>
      <rPr>
        <b/>
        <sz val="9"/>
        <rFont val="Calibri"/>
        <family val="2"/>
        <charset val="238"/>
      </rPr>
      <t>"Szczegóły rozliczenia"</t>
    </r>
    <r>
      <rPr>
        <sz val="9"/>
        <rFont val="Calibri"/>
        <family val="2"/>
        <charset val="238"/>
      </rPr>
      <t xml:space="preserve"> wypełnia pracownik DFK </t>
    </r>
    <r>
      <rPr>
        <b/>
        <sz val="9"/>
        <rFont val="Calibri"/>
        <family val="2"/>
        <charset val="238"/>
      </rPr>
      <t>"Ubezpieczenie(1)"</t>
    </r>
    <r>
      <rPr>
        <sz val="9"/>
        <rFont val="Calibri"/>
        <family val="2"/>
        <charset val="238"/>
      </rPr>
      <t xml:space="preserve"> dot. pobytu prywatnego</t>
    </r>
  </si>
  <si>
    <t>Państwo</t>
  </si>
  <si>
    <t>Kwota diety</t>
  </si>
  <si>
    <t>Algieria</t>
  </si>
  <si>
    <t>EUR</t>
  </si>
  <si>
    <t>Angola</t>
  </si>
  <si>
    <t>USD</t>
  </si>
  <si>
    <t>Demokratyczna Republika Konga</t>
  </si>
  <si>
    <t>Egipt</t>
  </si>
  <si>
    <t>Etiopia</t>
  </si>
  <si>
    <t>Kenia</t>
  </si>
  <si>
    <t>Kongo</t>
  </si>
  <si>
    <t>Libia</t>
  </si>
  <si>
    <t>Maroko</t>
  </si>
  <si>
    <t>Nigeria</t>
  </si>
  <si>
    <t>Południowa Afryka</t>
  </si>
  <si>
    <t>Senegal</t>
  </si>
  <si>
    <t>Tanzania</t>
  </si>
  <si>
    <t>Tunezja</t>
  </si>
  <si>
    <t>Wybrzeże Kości Słoniowej</t>
  </si>
  <si>
    <t>Zimbabwe</t>
  </si>
  <si>
    <t>Argentyna</t>
  </si>
  <si>
    <t>Brazylia</t>
  </si>
  <si>
    <t>Chile</t>
  </si>
  <si>
    <t>Ekwador</t>
  </si>
  <si>
    <t>Kolumbia</t>
  </si>
  <si>
    <t>Peru</t>
  </si>
  <si>
    <t>Urugwaj</t>
  </si>
  <si>
    <t>Wenezuela</t>
  </si>
  <si>
    <t>Kanada</t>
  </si>
  <si>
    <t>CAD</t>
  </si>
  <si>
    <t>Kostaryka</t>
  </si>
  <si>
    <t>Kuba</t>
  </si>
  <si>
    <t>Meksyk</t>
  </si>
  <si>
    <t>Panama</t>
  </si>
  <si>
    <t>Australia</t>
  </si>
  <si>
    <t>AUD</t>
  </si>
  <si>
    <t>Nowa Zelandia</t>
  </si>
  <si>
    <t>Afganistan</t>
  </si>
  <si>
    <t>Arabia Saudyjska</t>
  </si>
  <si>
    <t>Armenia</t>
  </si>
  <si>
    <t>Azerbejdżan</t>
  </si>
  <si>
    <t>Bangladesz</t>
  </si>
  <si>
    <t>Chiny</t>
  </si>
  <si>
    <t>Cypr</t>
  </si>
  <si>
    <t>Gruzja</t>
  </si>
  <si>
    <t>Indie</t>
  </si>
  <si>
    <t>Indonezja</t>
  </si>
  <si>
    <t>Irak</t>
  </si>
  <si>
    <t>Iran</t>
  </si>
  <si>
    <t>Izrael</t>
  </si>
  <si>
    <t>Japonia</t>
  </si>
  <si>
    <t>JPY</t>
  </si>
  <si>
    <t>Jemen</t>
  </si>
  <si>
    <t>Jordania</t>
  </si>
  <si>
    <t>Kambodża</t>
  </si>
  <si>
    <t>Katar</t>
  </si>
  <si>
    <t>Kazachstan</t>
  </si>
  <si>
    <t>Kirgistan</t>
  </si>
  <si>
    <t>Korea Południowa</t>
  </si>
  <si>
    <t>Korea Północna</t>
  </si>
  <si>
    <t>Kuwejt</t>
  </si>
  <si>
    <t>Laos</t>
  </si>
  <si>
    <t>Liban</t>
  </si>
  <si>
    <t>Malezja</t>
  </si>
  <si>
    <t>Mongolia</t>
  </si>
  <si>
    <t>Oman</t>
  </si>
  <si>
    <t>Pakistan</t>
  </si>
  <si>
    <t>Palestyna</t>
  </si>
  <si>
    <t>Rosja</t>
  </si>
  <si>
    <t>Singapur</t>
  </si>
  <si>
    <t>Syria</t>
  </si>
  <si>
    <t>Tadżykistan</t>
  </si>
  <si>
    <t>Tajlandia</t>
  </si>
  <si>
    <t>Turcja</t>
  </si>
  <si>
    <t>Turkmenistan</t>
  </si>
  <si>
    <t>Uzbekistan</t>
  </si>
  <si>
    <t>Wietnam</t>
  </si>
  <si>
    <t>Zjednoczone Emiraty Arabskie</t>
  </si>
  <si>
    <t>Albania</t>
  </si>
  <si>
    <t>Andora</t>
  </si>
  <si>
    <t>Austria</t>
  </si>
  <si>
    <t>Belgia</t>
  </si>
  <si>
    <t>Białoruś</t>
  </si>
  <si>
    <t>Bośnia i Hercegowina</t>
  </si>
  <si>
    <t>Bułgaria</t>
  </si>
  <si>
    <t>Chorwacja</t>
  </si>
  <si>
    <t>Czarnogóra</t>
  </si>
  <si>
    <t>Czechy</t>
  </si>
  <si>
    <t>Dania</t>
  </si>
  <si>
    <t>DKK</t>
  </si>
  <si>
    <t>Estonia</t>
  </si>
  <si>
    <t>Finlandia</t>
  </si>
  <si>
    <t>Francja</t>
  </si>
  <si>
    <t>Grecja</t>
  </si>
  <si>
    <t>Hiszpania</t>
  </si>
  <si>
    <t>Holandia</t>
  </si>
  <si>
    <t>Irlandia</t>
  </si>
  <si>
    <t>Islandia</t>
  </si>
  <si>
    <t>Liechtenstein</t>
  </si>
  <si>
    <t>CHF</t>
  </si>
  <si>
    <t>Litwa</t>
  </si>
  <si>
    <t>Luksemburg</t>
  </si>
  <si>
    <t>Łotwa</t>
  </si>
  <si>
    <t>Macedonia Północna</t>
  </si>
  <si>
    <t>Malta</t>
  </si>
  <si>
    <t>Mołdawia</t>
  </si>
  <si>
    <t>Monako</t>
  </si>
  <si>
    <t>Niemcy</t>
  </si>
  <si>
    <t>Norwegia</t>
  </si>
  <si>
    <t>NOK</t>
  </si>
  <si>
    <t>Portugalia</t>
  </si>
  <si>
    <t>Rumunia</t>
  </si>
  <si>
    <t>San Marino</t>
  </si>
  <si>
    <t>Serbia</t>
  </si>
  <si>
    <t>Słowacja</t>
  </si>
  <si>
    <t>Słowenia</t>
  </si>
  <si>
    <t>Szwajcaria</t>
  </si>
  <si>
    <t>Szwecja</t>
  </si>
  <si>
    <t>SEK</t>
  </si>
  <si>
    <t>Ukraina</t>
  </si>
  <si>
    <t>Watykan</t>
  </si>
  <si>
    <t>Węgry</t>
  </si>
  <si>
    <t>Wielka Brytania</t>
  </si>
  <si>
    <t>GBP</t>
  </si>
  <si>
    <t>Włochy</t>
  </si>
  <si>
    <t>Kraków</t>
  </si>
  <si>
    <t>Jędrzychowice</t>
  </si>
  <si>
    <t>Drezno</t>
  </si>
  <si>
    <t>samolot</t>
  </si>
  <si>
    <t>pociąg</t>
  </si>
  <si>
    <t>Ubezpieczenie</t>
  </si>
  <si>
    <t xml:space="preserve">Inne </t>
  </si>
  <si>
    <t>Warszawa</t>
  </si>
  <si>
    <t>Parametry limitów ustawowych dla podróży na terenie poza Polską</t>
  </si>
  <si>
    <t>Współczynnik</t>
  </si>
  <si>
    <t>% diety</t>
  </si>
  <si>
    <t>Stawka % ryczałtu przejazdów miejscowych</t>
  </si>
  <si>
    <t>Stawka % ryczałtu za nocleg</t>
  </si>
  <si>
    <t>Parametry limitów ustawowych dla podróży na terenie Polski</t>
  </si>
  <si>
    <t>Przekroczenie limitu noclegów (dieta razy …)</t>
  </si>
  <si>
    <t>Parametry limitów ustawowych dla rodzaju pojazdu</t>
  </si>
  <si>
    <t>Rodzaj pojazdu</t>
  </si>
  <si>
    <t>Stawka Ustawowa</t>
  </si>
  <si>
    <t>Własny samochód osobowy do 900 cm³</t>
  </si>
  <si>
    <t>Własny samochód osobowy pow. 900 cm³</t>
  </si>
  <si>
    <t>Własny motocykl</t>
  </si>
  <si>
    <t>Własny motorower</t>
  </si>
  <si>
    <t>POSIŁKI</t>
  </si>
  <si>
    <t>KRAJOWA</t>
  </si>
  <si>
    <t>Procent/kwota</t>
  </si>
  <si>
    <t>ZAGRANICZNA</t>
  </si>
  <si>
    <t xml:space="preserve">śniadanie </t>
  </si>
  <si>
    <t>obiad</t>
  </si>
  <si>
    <t>kolacja</t>
  </si>
  <si>
    <t>Lp.</t>
  </si>
  <si>
    <t>Waluta</t>
  </si>
  <si>
    <t>Kwota limitu na nocleg</t>
  </si>
  <si>
    <t>śniadania</t>
  </si>
  <si>
    <t>Ryczałt za nocleg</t>
  </si>
  <si>
    <t>Stany Zjednoczone Ameryki (USA), w tym:
– Nowy Jork
– Waszyngton</t>
  </si>
  <si>
    <t>Państwa inne niż wymienione w lp. 1–114</t>
  </si>
  <si>
    <r>
      <t xml:space="preserve">Nocleg: rachunek </t>
    </r>
    <r>
      <rPr>
        <sz val="10"/>
        <color rgb="FFFF0000"/>
        <rFont val="Calibri"/>
        <family val="2"/>
        <charset val="238"/>
      </rPr>
      <t>- poniżej limitu</t>
    </r>
  </si>
  <si>
    <t xml:space="preserve">do 8 h </t>
  </si>
  <si>
    <t>1/3 diety</t>
  </si>
  <si>
    <t>8-12 h</t>
  </si>
  <si>
    <t>1/2 diety</t>
  </si>
  <si>
    <t>&lt; 12 h</t>
  </si>
  <si>
    <t>cała dieta</t>
  </si>
  <si>
    <t>do 8 h</t>
  </si>
  <si>
    <t>nie ma diety</t>
  </si>
  <si>
    <t>Podróż trwająca powyżej 1 doby</t>
  </si>
  <si>
    <t>Podróż trwająca poniżej 1 doby</t>
  </si>
  <si>
    <t>ponad 8 h</t>
  </si>
  <si>
    <t>Czas podróży</t>
  </si>
  <si>
    <t xml:space="preserve"> Parametry wartości diety ustawowej - podróż krajowa</t>
  </si>
  <si>
    <t>Wartość diety ustawowej</t>
  </si>
  <si>
    <t>Pobyt prywatny</t>
  </si>
  <si>
    <t>Kraj przyjazdu</t>
  </si>
  <si>
    <t>Polska</t>
  </si>
  <si>
    <t>start</t>
  </si>
  <si>
    <t>zakończenie</t>
  </si>
  <si>
    <t>diff</t>
  </si>
  <si>
    <t>diff z-s</t>
  </si>
  <si>
    <t>w godz</t>
  </si>
  <si>
    <t>krajowa</t>
  </si>
  <si>
    <t>zagraniczna</t>
  </si>
  <si>
    <t>kraj podróży</t>
  </si>
  <si>
    <t>odcinki krajowe</t>
  </si>
  <si>
    <t>x</t>
  </si>
  <si>
    <t xml:space="preserve">kraj diff </t>
  </si>
  <si>
    <t>kraj diff z-s</t>
  </si>
  <si>
    <t>PLN</t>
  </si>
  <si>
    <t/>
  </si>
  <si>
    <t>odcinek1</t>
  </si>
  <si>
    <t>odcinek2</t>
  </si>
  <si>
    <t>odcinek3</t>
  </si>
  <si>
    <t>odcinek4</t>
  </si>
  <si>
    <t>odcinki</t>
  </si>
  <si>
    <t>odcinki krajowe z-s</t>
  </si>
  <si>
    <t>czas prywatny w odcinku</t>
  </si>
  <si>
    <t>czas prywatny z-s</t>
  </si>
  <si>
    <t>kraj zs</t>
  </si>
  <si>
    <r>
      <rPr>
        <b/>
        <sz val="11"/>
        <rFont val="Calibri"/>
        <family val="2"/>
        <charset val="238"/>
      </rPr>
      <t>POBYT PRYWATNY</t>
    </r>
    <r>
      <rPr>
        <b/>
        <sz val="10"/>
        <rFont val="Calibri"/>
        <family val="2"/>
        <charset val="238"/>
      </rPr>
      <t>/</t>
    </r>
    <r>
      <rPr>
        <sz val="9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PRIVATE STAY</t>
    </r>
  </si>
  <si>
    <r>
      <t>Waluta</t>
    </r>
    <r>
      <rPr>
        <sz val="11"/>
        <rFont val="Calibri"/>
        <family val="2"/>
      </rPr>
      <t>/currency:</t>
    </r>
  </si>
  <si>
    <r>
      <t xml:space="preserve">
</t>
    </r>
    <r>
      <rPr>
        <sz val="11"/>
        <rFont val="Times New Roman"/>
        <family val="1"/>
        <charset val="238"/>
      </rPr>
      <t>Nr rachunku</t>
    </r>
    <r>
      <rPr>
        <sz val="10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>/</t>
    </r>
    <r>
      <rPr>
        <sz val="9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Account number: ………….………………………………………………..................................................................
</t>
    </r>
    <r>
      <rPr>
        <i/>
        <sz val="10"/>
        <rFont val="Times New Roman"/>
        <family val="1"/>
        <charset val="238"/>
      </rPr>
      <t xml:space="preserve">(jeżeli inny niż podany do wypłaty wynagrodzeń/if different from the one provided to the employer for salary payments) </t>
    </r>
  </si>
  <si>
    <r>
      <rPr>
        <b/>
        <sz val="11"/>
        <rFont val="Calibri"/>
        <family val="2"/>
        <charset val="238"/>
      </rPr>
      <t xml:space="preserve">Rodzaje świadczeń </t>
    </r>
    <r>
      <rPr>
        <b/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Types of expenses</t>
    </r>
  </si>
  <si>
    <r>
      <rPr>
        <sz val="11"/>
        <rFont val="Calibri"/>
        <family val="2"/>
      </rPr>
      <t>Pobrana zaliczka w PLN</t>
    </r>
  </si>
  <si>
    <r>
      <rPr>
        <sz val="11"/>
        <rFont val="Calibri"/>
        <family val="2"/>
      </rPr>
      <t>Pobrana zaliczka w walucie</t>
    </r>
  </si>
  <si>
    <r>
      <rPr>
        <sz val="11"/>
        <rFont val="Calibri"/>
        <family val="2"/>
      </rPr>
      <t>Kurs waluty</t>
    </r>
  </si>
  <si>
    <r>
      <rPr>
        <sz val="11"/>
        <rFont val="Calibri"/>
        <family val="2"/>
      </rPr>
      <t>Wydatki w PLN</t>
    </r>
  </si>
  <si>
    <r>
      <rPr>
        <sz val="11"/>
        <rFont val="Calibri"/>
        <family val="2"/>
      </rPr>
      <t>Rozliczenie w PLN</t>
    </r>
  </si>
  <si>
    <r>
      <t xml:space="preserve">RODZAJE ŚWIADCZEŃ DELEGOWANEGO - WYPEŁNIA DELEGOWANY / </t>
    </r>
    <r>
      <rPr>
        <i/>
        <sz val="11"/>
        <rFont val="Calibri"/>
        <family val="2"/>
        <charset val="238"/>
      </rPr>
      <t>TYPES OF EXPENSES</t>
    </r>
    <r>
      <rPr>
        <b/>
        <i/>
        <sz val="11"/>
        <rFont val="Calibri"/>
        <family val="2"/>
        <charset val="238"/>
      </rPr>
      <t xml:space="preserve"> </t>
    </r>
    <r>
      <rPr>
        <i/>
        <sz val="11"/>
        <rFont val="Calibri"/>
        <family val="2"/>
        <charset val="238"/>
      </rPr>
      <t>- FILLED IN BY THE DELEGATE</t>
    </r>
  </si>
  <si>
    <r>
      <t xml:space="preserve">SZCZEGÓŁY ROZLICZENIA - WYPEŁNIA DZIAŁ FINANSOWO KSIĘGOWY / </t>
    </r>
    <r>
      <rPr>
        <i/>
        <sz val="11"/>
        <rFont val="Calibri"/>
        <family val="2"/>
        <charset val="238"/>
      </rPr>
      <t>FILLED IN BY THE ACCOUNTING AND FINANCES</t>
    </r>
  </si>
  <si>
    <t>Kwota do wypłaty/zwrotu w PLN: 
Słownie:</t>
  </si>
  <si>
    <t>Kwota do wypłaty/zwrotu w walucie: 
Słownie:</t>
  </si>
  <si>
    <r>
      <rPr>
        <sz val="10.5"/>
        <rFont val="Calibri"/>
        <family val="2"/>
        <charset val="238"/>
      </rPr>
      <t>Niniejszy rachunek przedkładam. Wnioskuję o wypłatę należnej mi kwoty w walucie  obcej ☐ lub  jej równowartości ☐ w PLN (zaznacz walutę).</t>
    </r>
    <r>
      <rPr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I submit this invoice. I request payment of the amount due to me in foreign currency or its equivalent in PLN (select currency).</t>
    </r>
  </si>
  <si>
    <r>
      <t xml:space="preserve">
Data i podpis delegowanego
</t>
    </r>
    <r>
      <rPr>
        <i/>
        <sz val="10"/>
        <rFont val="Times New Roman"/>
        <family val="1"/>
        <charset val="238"/>
      </rPr>
      <t>Date and signature of the delegated</t>
    </r>
  </si>
  <si>
    <r>
      <rPr>
        <b/>
        <sz val="11"/>
        <rFont val="Calibri"/>
        <family val="2"/>
        <charset val="238"/>
      </rPr>
      <t>Ilość</t>
    </r>
    <r>
      <rPr>
        <b/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Quantity</t>
    </r>
  </si>
  <si>
    <r>
      <t xml:space="preserve">Stawka
</t>
    </r>
    <r>
      <rPr>
        <i/>
        <sz val="10"/>
        <rFont val="Calibri"/>
        <family val="2"/>
        <charset val="238"/>
      </rPr>
      <t>Daily rate</t>
    </r>
  </si>
  <si>
    <r>
      <rPr>
        <b/>
        <sz val="11"/>
        <rFont val="Calibri"/>
        <family val="2"/>
        <charset val="238"/>
      </rPr>
      <t>Waluta PLN</t>
    </r>
    <r>
      <rPr>
        <b/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PLN currency</t>
    </r>
  </si>
  <si>
    <r>
      <rPr>
        <b/>
        <sz val="11"/>
        <rFont val="Calibri"/>
        <family val="2"/>
        <charset val="238"/>
      </rPr>
      <t>Waluta obca</t>
    </r>
    <r>
      <rPr>
        <b/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Foreign currency</t>
    </r>
  </si>
  <si>
    <r>
      <t xml:space="preserve">Śniadania </t>
    </r>
    <r>
      <rPr>
        <sz val="11"/>
        <rFont val="Calibri"/>
        <family val="2"/>
      </rPr>
      <t>/</t>
    </r>
    <r>
      <rPr>
        <i/>
        <sz val="11"/>
        <rFont val="Calibri"/>
        <family val="2"/>
        <charset val="238"/>
      </rPr>
      <t xml:space="preserve"> Breakfast:</t>
    </r>
  </si>
  <si>
    <r>
      <t xml:space="preserve">Obiad </t>
    </r>
    <r>
      <rPr>
        <sz val="11"/>
        <rFont val="Calibri"/>
        <family val="2"/>
      </rPr>
      <t xml:space="preserve">/ </t>
    </r>
    <r>
      <rPr>
        <i/>
        <sz val="11"/>
        <rFont val="Calibri"/>
        <family val="2"/>
        <charset val="238"/>
      </rPr>
      <t>Lunch:</t>
    </r>
  </si>
  <si>
    <r>
      <t xml:space="preserve">Kolacja </t>
    </r>
    <r>
      <rPr>
        <sz val="11"/>
        <rFont val="Calibri"/>
        <family val="2"/>
      </rPr>
      <t xml:space="preserve">/ </t>
    </r>
    <r>
      <rPr>
        <i/>
        <sz val="11"/>
        <rFont val="Calibri"/>
        <family val="2"/>
        <charset val="238"/>
      </rPr>
      <t>Dinner:</t>
    </r>
  </si>
  <si>
    <r>
      <rPr>
        <sz val="11"/>
        <rFont val="Calibri"/>
        <family val="2"/>
        <charset val="238"/>
      </rPr>
      <t>Kraj wyjazdu</t>
    </r>
    <r>
      <rPr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Country  of
departure</t>
    </r>
  </si>
  <si>
    <r>
      <t xml:space="preserve">Miejscowość wyjazdu
</t>
    </r>
    <r>
      <rPr>
        <i/>
        <sz val="10"/>
        <rFont val="Calibri"/>
        <family val="2"/>
        <charset val="238"/>
      </rPr>
      <t>Place of
departure</t>
    </r>
  </si>
  <si>
    <r>
      <rPr>
        <sz val="11"/>
        <rFont val="Calibri"/>
        <family val="2"/>
        <charset val="238"/>
      </rPr>
      <t>Data wyjazdu</t>
    </r>
    <r>
      <rPr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Date of departure</t>
    </r>
  </si>
  <si>
    <r>
      <t xml:space="preserve">Godzina wyjazdu
</t>
    </r>
    <r>
      <rPr>
        <i/>
        <sz val="10"/>
        <rFont val="Calibri"/>
        <family val="2"/>
        <charset val="238"/>
      </rPr>
      <t>Hour of departure</t>
    </r>
  </si>
  <si>
    <r>
      <rPr>
        <sz val="11"/>
        <rFont val="Calibri"/>
        <family val="2"/>
        <charset val="238"/>
      </rPr>
      <t>Kraj przyjazdu</t>
    </r>
    <r>
      <rPr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Country of
arrival</t>
    </r>
  </si>
  <si>
    <r>
      <rPr>
        <sz val="11"/>
        <rFont val="Calibri"/>
        <family val="2"/>
        <charset val="238"/>
      </rPr>
      <t>Miejscowość przyjazdu</t>
    </r>
    <r>
      <rPr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Place of arrival</t>
    </r>
  </si>
  <si>
    <r>
      <rPr>
        <sz val="11"/>
        <rFont val="Calibri"/>
        <family val="2"/>
        <charset val="238"/>
      </rPr>
      <t>Data przyjazdu</t>
    </r>
    <r>
      <rPr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Date of arrival</t>
    </r>
  </si>
  <si>
    <r>
      <t xml:space="preserve">Godzina przyjazdu
</t>
    </r>
    <r>
      <rPr>
        <i/>
        <sz val="10"/>
        <rFont val="Calibri"/>
        <family val="2"/>
        <charset val="238"/>
      </rPr>
      <t>Hour of arrival</t>
    </r>
  </si>
  <si>
    <r>
      <t xml:space="preserve">Środek lokomocji
</t>
    </r>
    <r>
      <rPr>
        <i/>
        <sz val="9"/>
        <rFont val="Calibri"/>
        <family val="2"/>
        <charset val="238"/>
      </rPr>
      <t>Means of transport</t>
    </r>
  </si>
  <si>
    <r>
      <t xml:space="preserve">RACHUNEK KOSZTÓW PODRÓŻY
</t>
    </r>
    <r>
      <rPr>
        <i/>
        <sz val="10"/>
        <rFont val="Calibri"/>
        <family val="2"/>
        <charset val="238"/>
      </rPr>
      <t>SETTLEMENT OF BUSINESS TRIP EXPENSES</t>
    </r>
  </si>
  <si>
    <r>
      <rPr>
        <b/>
        <sz val="11"/>
        <rFont val="Calibri"/>
        <family val="2"/>
        <charset val="238"/>
      </rPr>
      <t>KRAJOWA:</t>
    </r>
    <r>
      <rPr>
        <b/>
        <sz val="10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DOMESTIC:</t>
    </r>
  </si>
  <si>
    <r>
      <rPr>
        <b/>
        <sz val="11"/>
        <rFont val="Calibri"/>
        <family val="2"/>
        <charset val="238"/>
      </rPr>
      <t xml:space="preserve">ZAGRANICZNA:
</t>
    </r>
    <r>
      <rPr>
        <i/>
        <sz val="10"/>
        <rFont val="Calibri"/>
        <family val="2"/>
        <charset val="238"/>
      </rPr>
      <t>FOREGIN:</t>
    </r>
  </si>
  <si>
    <t>Tabela:</t>
  </si>
  <si>
    <r>
      <rPr>
        <b/>
        <sz val="11"/>
        <rFont val="Calibri"/>
        <family val="2"/>
        <charset val="238"/>
      </rPr>
      <t>Dieta zagraniczna</t>
    </r>
    <r>
      <rPr>
        <sz val="9"/>
        <rFont val="Calibri"/>
        <family val="2"/>
      </rPr>
      <t xml:space="preserve">
</t>
    </r>
    <r>
      <rPr>
        <i/>
        <sz val="10"/>
        <rFont val="Calibri"/>
        <family val="2"/>
        <charset val="238"/>
      </rPr>
      <t>Foreign per diems</t>
    </r>
  </si>
  <si>
    <r>
      <rPr>
        <b/>
        <sz val="11"/>
        <rFont val="Calibri"/>
        <family val="2"/>
        <charset val="238"/>
      </rPr>
      <t>Dieta krajowa</t>
    </r>
    <r>
      <rPr>
        <sz val="9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Domestic per diems</t>
    </r>
  </si>
  <si>
    <r>
      <rPr>
        <b/>
        <sz val="11"/>
        <rFont val="Calibri"/>
        <family val="2"/>
        <charset val="238"/>
      </rPr>
      <t>Nocleg: ryczałt</t>
    </r>
    <r>
      <rPr>
        <sz val="10"/>
        <rFont val="Calibri"/>
        <family val="2"/>
      </rPr>
      <t xml:space="preserve">
</t>
    </r>
    <r>
      <rPr>
        <i/>
        <sz val="10"/>
        <rFont val="Calibri"/>
        <family val="2"/>
        <charset val="238"/>
      </rPr>
      <t>Accommodation: lump sum</t>
    </r>
  </si>
  <si>
    <r>
      <rPr>
        <b/>
        <sz val="11"/>
        <rFont val="Calibri"/>
        <family val="2"/>
        <charset val="238"/>
      </rPr>
      <t>Koszty podróży</t>
    </r>
    <r>
      <rPr>
        <sz val="11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 xml:space="preserve">
</t>
    </r>
    <r>
      <rPr>
        <i/>
        <sz val="10"/>
        <rFont val="Calibri"/>
        <family val="2"/>
        <charset val="238"/>
      </rPr>
      <t>Travel costs (train/bus tickets)</t>
    </r>
    <r>
      <rPr>
        <sz val="10"/>
        <rFont val="Calibri"/>
        <family val="2"/>
        <charset val="238"/>
      </rPr>
      <t xml:space="preserve">
</t>
    </r>
  </si>
  <si>
    <r>
      <rPr>
        <b/>
        <sz val="11"/>
        <rFont val="Calibri"/>
        <family val="2"/>
        <charset val="238"/>
      </rPr>
      <t>Przejazd</t>
    </r>
    <r>
      <rPr>
        <sz val="11"/>
        <rFont val="Calibri"/>
        <family val="2"/>
        <charset val="238"/>
      </rPr>
      <t xml:space="preserve"> </t>
    </r>
    <r>
      <rPr>
        <sz val="9"/>
        <rFont val="Calibri"/>
        <family val="2"/>
        <charset val="238"/>
      </rPr>
      <t xml:space="preserve"> 
</t>
    </r>
    <r>
      <rPr>
        <i/>
        <sz val="10"/>
        <rFont val="Calibri"/>
        <family val="2"/>
        <charset val="238"/>
      </rPr>
      <t>Travel costs (plane/car)</t>
    </r>
  </si>
  <si>
    <r>
      <rPr>
        <b/>
        <sz val="11"/>
        <rFont val="Calibri"/>
        <family val="2"/>
        <charset val="238"/>
      </rPr>
      <t>Opłata wstępu</t>
    </r>
    <r>
      <rPr>
        <sz val="10"/>
        <rFont val="Calibri"/>
        <family val="2"/>
      </rPr>
      <t xml:space="preserve"> 
</t>
    </r>
    <r>
      <rPr>
        <i/>
        <sz val="10"/>
        <rFont val="Calibri"/>
        <family val="2"/>
        <charset val="238"/>
      </rPr>
      <t>Admission fee</t>
    </r>
  </si>
  <si>
    <r>
      <rPr>
        <b/>
        <sz val="11"/>
        <rFont val="Calibri"/>
        <family val="2"/>
        <charset val="238"/>
      </rPr>
      <t>Dieta dojazdowa</t>
    </r>
    <r>
      <rPr>
        <sz val="11"/>
        <rFont val="Calibri"/>
        <family val="2"/>
        <charset val="238"/>
      </rPr>
      <t xml:space="preserve"> 
</t>
    </r>
    <r>
      <rPr>
        <i/>
        <sz val="10"/>
        <rFont val="Calibri"/>
        <family val="2"/>
        <charset val="238"/>
      </rPr>
      <t>Travel allowance</t>
    </r>
  </si>
  <si>
    <r>
      <rPr>
        <b/>
        <sz val="11"/>
        <rFont val="Calibri"/>
        <family val="2"/>
        <charset val="238"/>
      </rPr>
      <t>Ryczałt kosztów dojazdu</t>
    </r>
    <r>
      <rPr>
        <sz val="10"/>
        <rFont val="Calibri"/>
        <family val="2"/>
      </rPr>
      <t xml:space="preserve">
</t>
    </r>
    <r>
      <rPr>
        <i/>
        <sz val="10"/>
        <rFont val="Calibri"/>
        <family val="2"/>
        <charset val="238"/>
      </rPr>
      <t>Lump sum for public transport</t>
    </r>
  </si>
  <si>
    <r>
      <rPr>
        <b/>
        <sz val="11"/>
        <rFont val="Calibri"/>
        <family val="2"/>
        <charset val="238"/>
      </rPr>
      <t>Ubezpieczenie</t>
    </r>
    <r>
      <rPr>
        <sz val="11"/>
        <rFont val="Calibri"/>
        <family val="2"/>
        <charset val="238"/>
      </rPr>
      <t xml:space="preserve"> 
</t>
    </r>
    <r>
      <rPr>
        <i/>
        <sz val="10"/>
        <rFont val="Calibri"/>
        <family val="2"/>
        <charset val="238"/>
      </rPr>
      <t>Insurance</t>
    </r>
  </si>
  <si>
    <r>
      <rPr>
        <b/>
        <sz val="11"/>
        <rFont val="Calibri"/>
        <family val="2"/>
        <charset val="238"/>
      </rPr>
      <t xml:space="preserve">Inne </t>
    </r>
    <r>
      <rPr>
        <sz val="10"/>
        <rFont val="Calibri"/>
        <family val="2"/>
      </rPr>
      <t xml:space="preserve">
</t>
    </r>
    <r>
      <rPr>
        <i/>
        <sz val="10"/>
        <rFont val="Calibri"/>
        <family val="2"/>
        <charset val="238"/>
      </rPr>
      <t>Other</t>
    </r>
  </si>
  <si>
    <r>
      <t xml:space="preserve">RAZEM 
</t>
    </r>
    <r>
      <rPr>
        <i/>
        <sz val="9"/>
        <rFont val="Calibri"/>
        <family val="2"/>
        <charset val="238"/>
      </rPr>
      <t>TOTAL:</t>
    </r>
  </si>
  <si>
    <r>
      <t xml:space="preserve">POLECENIE WYJAZDU NR:
</t>
    </r>
    <r>
      <rPr>
        <i/>
        <sz val="10"/>
        <rFont val="Calibri"/>
        <family val="2"/>
        <charset val="238"/>
      </rPr>
      <t>TRAVEL ORDER NO.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</si>
</sst>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8" formatCode="#,##0.00\ &quot;zł&quot;;[Red]\-#,##0.00\ &quot;zł&quot;"/>
    <numFmt numFmtId="42" formatCode="_-* #,##0\ &quot;zł&quot;_-;\-* #,##0\ &quot;zł&quot;_-;_-* &quot;-&quot;\ &quot;zł&quot;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[$-F400]h:mm:ss\ AM/PM"/>
    <numFmt numFmtId="165" formatCode="#,##0.00\ &quot;zł&quot;"/>
    <numFmt numFmtId="166" formatCode="[hh]:mm"/>
  </numFmts>
  <fonts count="40" x14ac:knownFonts="1">
    <font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9"/>
      <name val="Calibri"/>
      <family val="2"/>
      <charset val="238"/>
    </font>
    <font>
      <b/>
      <sz val="9"/>
      <color theme="4" tint="0.79998168889431442"/>
      <name val="Calibri"/>
      <family val="2"/>
      <charset val="238"/>
    </font>
    <font>
      <sz val="9"/>
      <name val="Calibri"/>
      <family val="2"/>
      <charset val="238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</font>
    <font>
      <i/>
      <sz val="9"/>
      <name val="Calibri"/>
      <family val="2"/>
      <charset val="238"/>
    </font>
    <font>
      <i/>
      <sz val="10"/>
      <name val="Calibri"/>
      <family val="2"/>
      <charset val="238"/>
    </font>
    <font>
      <sz val="10"/>
      <color rgb="FFFF0000"/>
      <name val="Calibri"/>
      <family val="2"/>
    </font>
    <font>
      <sz val="10"/>
      <color theme="9" tint="-0.249977111117893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9"/>
      <color rgb="FF000000"/>
      <name val="Times New Roman"/>
      <family val="1"/>
      <charset val="238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</font>
    <font>
      <b/>
      <sz val="11"/>
      <color rgb="FF000000"/>
      <name val="Times New Roman"/>
      <family val="1"/>
      <charset val="238"/>
    </font>
    <font>
      <b/>
      <sz val="10"/>
      <color theme="2" tint="-9.9978637043366805E-2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0"/>
      <color rgb="FFD0CECE"/>
      <name val="Calibri"/>
      <family val="2"/>
      <charset val="238"/>
    </font>
    <font>
      <sz val="9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libri"/>
      <family val="2"/>
    </font>
    <font>
      <sz val="10.5"/>
      <name val="Calibri"/>
      <family val="2"/>
      <charset val="238"/>
    </font>
    <font>
      <i/>
      <sz val="10"/>
      <name val="Times New Roman"/>
      <family val="1"/>
      <charset val="238"/>
    </font>
    <font>
      <sz val="11"/>
      <color rgb="FFFF0000"/>
      <name val="Calibri"/>
      <family val="2"/>
    </font>
    <font>
      <i/>
      <sz val="11"/>
      <name val="Calibri"/>
      <family val="2"/>
      <charset val="238"/>
    </font>
    <font>
      <b/>
      <i/>
      <sz val="1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D0CE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9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tted">
        <color indexed="64"/>
      </right>
      <top style="double">
        <color indexed="64"/>
      </top>
      <bottom/>
      <diagonal/>
    </border>
    <border>
      <left style="dotted">
        <color indexed="64"/>
      </left>
      <right/>
      <top style="double">
        <color indexed="64"/>
      </top>
      <bottom/>
      <diagonal/>
    </border>
    <border>
      <left style="dotted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/>
      <right style="dotted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uble">
        <color indexed="64"/>
      </right>
      <top style="double">
        <color indexed="64"/>
      </top>
      <bottom/>
      <diagonal/>
    </border>
    <border>
      <left style="dotted">
        <color indexed="64"/>
      </left>
      <right/>
      <top style="double">
        <color indexed="64"/>
      </top>
      <bottom style="double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498">
    <xf numFmtId="0" fontId="0" fillId="0" borderId="0" xfId="0"/>
    <xf numFmtId="0" fontId="0" fillId="0" borderId="0" xfId="0" applyAlignment="1">
      <alignment horizontal="left" vertical="top"/>
    </xf>
    <xf numFmtId="0" fontId="4" fillId="0" borderId="8" xfId="0" applyFont="1" applyBorder="1" applyAlignment="1">
      <alignment horizontal="left" vertical="top" wrapText="1" indent="2"/>
    </xf>
    <xf numFmtId="0" fontId="4" fillId="0" borderId="8" xfId="0" applyFont="1" applyBorder="1" applyAlignment="1">
      <alignment horizontal="left" vertical="top" wrapText="1" indent="1"/>
    </xf>
    <xf numFmtId="0" fontId="1" fillId="0" borderId="0" xfId="0" applyFont="1" applyAlignment="1">
      <alignment horizontal="left" vertical="top"/>
    </xf>
    <xf numFmtId="0" fontId="0" fillId="0" borderId="8" xfId="0" applyBorder="1" applyAlignment="1">
      <alignment horizontal="left" wrapText="1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wrapText="1"/>
    </xf>
    <xf numFmtId="0" fontId="0" fillId="3" borderId="0" xfId="0" applyFill="1" applyAlignment="1">
      <alignment horizontal="left" vertical="top"/>
    </xf>
    <xf numFmtId="0" fontId="0" fillId="0" borderId="15" xfId="0" applyBorder="1" applyAlignment="1">
      <alignment horizontal="left" wrapText="1"/>
    </xf>
    <xf numFmtId="0" fontId="1" fillId="3" borderId="0" xfId="0" applyFont="1" applyFill="1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4" borderId="1" xfId="0" applyFont="1" applyFill="1" applyBorder="1" applyAlignment="1">
      <alignment vertical="top" wrapText="1"/>
    </xf>
    <xf numFmtId="9" fontId="10" fillId="4" borderId="6" xfId="0" applyNumberFormat="1" applyFont="1" applyFill="1" applyBorder="1" applyAlignment="1">
      <alignment vertical="top" wrapText="1"/>
    </xf>
    <xf numFmtId="9" fontId="10" fillId="4" borderId="2" xfId="0" applyNumberFormat="1" applyFont="1" applyFill="1" applyBorder="1" applyAlignment="1">
      <alignment vertical="top" wrapText="1"/>
    </xf>
    <xf numFmtId="44" fontId="10" fillId="4" borderId="7" xfId="0" applyNumberFormat="1" applyFont="1" applyFill="1" applyBorder="1" applyAlignment="1">
      <alignment vertical="top" wrapText="1"/>
    </xf>
    <xf numFmtId="44" fontId="10" fillId="4" borderId="6" xfId="0" applyNumberFormat="1" applyFont="1" applyFill="1" applyBorder="1" applyAlignment="1">
      <alignment vertical="top" wrapText="1"/>
    </xf>
    <xf numFmtId="0" fontId="10" fillId="4" borderId="14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11" fillId="0" borderId="7" xfId="0" applyFont="1" applyBorder="1" applyAlignment="1">
      <alignment vertical="top" wrapText="1"/>
    </xf>
    <xf numFmtId="0" fontId="0" fillId="0" borderId="7" xfId="0" applyBorder="1" applyAlignment="1">
      <alignment vertical="center" wrapText="1"/>
    </xf>
    <xf numFmtId="0" fontId="0" fillId="3" borderId="17" xfId="0" applyFill="1" applyBorder="1" applyAlignment="1">
      <alignment vertical="center" wrapText="1"/>
    </xf>
    <xf numFmtId="0" fontId="0" fillId="3" borderId="19" xfId="0" applyFill="1" applyBorder="1" applyAlignment="1">
      <alignment vertical="center" wrapText="1"/>
    </xf>
    <xf numFmtId="0" fontId="13" fillId="4" borderId="5" xfId="0" applyFont="1" applyFill="1" applyBorder="1" applyAlignment="1">
      <alignment vertical="top" wrapText="1"/>
    </xf>
    <xf numFmtId="0" fontId="13" fillId="4" borderId="6" xfId="0" applyFont="1" applyFill="1" applyBorder="1" applyAlignment="1">
      <alignment vertical="top" wrapText="1"/>
    </xf>
    <xf numFmtId="0" fontId="13" fillId="4" borderId="2" xfId="0" applyFont="1" applyFill="1" applyBorder="1" applyAlignment="1">
      <alignment vertical="top" wrapText="1"/>
    </xf>
    <xf numFmtId="0" fontId="13" fillId="4" borderId="0" xfId="0" applyFont="1" applyFill="1" applyAlignment="1">
      <alignment vertical="top" wrapText="1"/>
    </xf>
    <xf numFmtId="0" fontId="0" fillId="0" borderId="14" xfId="0" applyBorder="1" applyAlignment="1">
      <alignment vertical="center" wrapText="1"/>
    </xf>
    <xf numFmtId="0" fontId="0" fillId="0" borderId="25" xfId="0" applyBorder="1" applyAlignment="1">
      <alignment horizontal="left" vertical="center" wrapText="1"/>
    </xf>
    <xf numFmtId="0" fontId="0" fillId="0" borderId="25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0" fontId="18" fillId="0" borderId="8" xfId="0" applyFont="1" applyBorder="1" applyAlignment="1">
      <alignment horizontal="left" wrapText="1"/>
    </xf>
    <xf numFmtId="44" fontId="6" fillId="3" borderId="9" xfId="0" quotePrefix="1" applyNumberFormat="1" applyFont="1" applyFill="1" applyBorder="1" applyAlignment="1">
      <alignment vertical="center" wrapText="1"/>
    </xf>
    <xf numFmtId="44" fontId="6" fillId="3" borderId="9" xfId="0" applyNumberFormat="1" applyFont="1" applyFill="1" applyBorder="1" applyAlignment="1">
      <alignment vertical="center" wrapText="1"/>
    </xf>
    <xf numFmtId="0" fontId="6" fillId="5" borderId="15" xfId="0" applyFont="1" applyFill="1" applyBorder="1" applyAlignment="1">
      <alignment horizontal="left" wrapText="1"/>
    </xf>
    <xf numFmtId="0" fontId="6" fillId="5" borderId="8" xfId="0" applyFont="1" applyFill="1" applyBorder="1" applyAlignment="1">
      <alignment horizontal="left" wrapText="1"/>
    </xf>
    <xf numFmtId="0" fontId="0" fillId="0" borderId="4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49" xfId="0" applyBorder="1" applyAlignment="1">
      <alignment horizontal="center"/>
    </xf>
    <xf numFmtId="0" fontId="0" fillId="0" borderId="4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49" xfId="0" applyBorder="1" applyAlignment="1">
      <alignment horizontal="center" vertical="center"/>
    </xf>
    <xf numFmtId="0" fontId="0" fillId="0" borderId="43" xfId="0" applyBorder="1"/>
    <xf numFmtId="0" fontId="0" fillId="0" borderId="48" xfId="0" applyBorder="1"/>
    <xf numFmtId="0" fontId="0" fillId="0" borderId="49" xfId="0" applyBorder="1"/>
    <xf numFmtId="12" fontId="0" fillId="0" borderId="1" xfId="0" applyNumberFormat="1" applyBorder="1" applyAlignment="1">
      <alignment vertical="center" wrapText="1"/>
    </xf>
    <xf numFmtId="0" fontId="22" fillId="0" borderId="0" xfId="0" applyFont="1" applyAlignment="1">
      <alignment horizontal="center" vertical="top"/>
    </xf>
    <xf numFmtId="9" fontId="0" fillId="0" borderId="43" xfId="0" applyNumberFormat="1" applyBorder="1"/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43" xfId="0" applyBorder="1" applyAlignment="1">
      <alignment horizontal="left"/>
    </xf>
    <xf numFmtId="0" fontId="0" fillId="3" borderId="0" xfId="0" applyFill="1"/>
    <xf numFmtId="0" fontId="23" fillId="3" borderId="43" xfId="0" applyFont="1" applyFill="1" applyBorder="1" applyAlignment="1">
      <alignment horizontal="center" vertical="center" wrapText="1"/>
    </xf>
    <xf numFmtId="0" fontId="24" fillId="3" borderId="43" xfId="0" applyFont="1" applyFill="1" applyBorder="1" applyAlignment="1">
      <alignment horizontal="center" vertical="center" wrapText="1"/>
    </xf>
    <xf numFmtId="2" fontId="0" fillId="3" borderId="11" xfId="1" applyNumberFormat="1" applyFont="1" applyFill="1" applyBorder="1" applyAlignment="1">
      <alignment vertical="center" wrapText="1"/>
    </xf>
    <xf numFmtId="0" fontId="0" fillId="0" borderId="43" xfId="0" applyBorder="1" applyAlignment="1">
      <alignment horizontal="right"/>
    </xf>
    <xf numFmtId="2" fontId="8" fillId="0" borderId="43" xfId="0" applyNumberFormat="1" applyFont="1" applyBorder="1"/>
    <xf numFmtId="9" fontId="0" fillId="0" borderId="0" xfId="0" applyNumberFormat="1"/>
    <xf numFmtId="0" fontId="0" fillId="0" borderId="0" xfId="0" applyAlignment="1">
      <alignment horizontal="right"/>
    </xf>
    <xf numFmtId="9" fontId="0" fillId="0" borderId="0" xfId="2" applyNumberFormat="1" applyFont="1" applyFill="1" applyBorder="1" applyAlignment="1" applyProtection="1">
      <alignment horizontal="center" vertical="center"/>
      <protection locked="0"/>
    </xf>
    <xf numFmtId="9" fontId="0" fillId="0" borderId="43" xfId="0" applyNumberFormat="1" applyBorder="1" applyAlignment="1">
      <alignment horizontal="right"/>
    </xf>
    <xf numFmtId="0" fontId="19" fillId="8" borderId="0" xfId="0" applyFont="1" applyFill="1"/>
    <xf numFmtId="0" fontId="9" fillId="4" borderId="0" xfId="0" applyFont="1" applyFill="1" applyAlignment="1">
      <alignment vertical="top" wrapText="1"/>
    </xf>
    <xf numFmtId="0" fontId="9" fillId="4" borderId="2" xfId="0" applyFont="1" applyFill="1" applyBorder="1" applyAlignment="1">
      <alignment vertical="top" wrapText="1"/>
    </xf>
    <xf numFmtId="0" fontId="9" fillId="4" borderId="6" xfId="0" applyFont="1" applyFill="1" applyBorder="1" applyAlignment="1">
      <alignment vertical="top" wrapText="1"/>
    </xf>
    <xf numFmtId="9" fontId="0" fillId="0" borderId="49" xfId="2" applyNumberFormat="1" applyFont="1" applyFill="1" applyBorder="1" applyAlignment="1" applyProtection="1">
      <alignment horizontal="center" vertical="center"/>
      <protection locked="0"/>
    </xf>
    <xf numFmtId="0" fontId="21" fillId="7" borderId="43" xfId="0" applyFont="1" applyFill="1" applyBorder="1" applyAlignment="1">
      <alignment horizontal="left" vertical="center"/>
    </xf>
    <xf numFmtId="0" fontId="21" fillId="7" borderId="43" xfId="0" applyFont="1" applyFill="1" applyBorder="1" applyAlignment="1">
      <alignment horizontal="center" vertical="center" wrapText="1"/>
    </xf>
    <xf numFmtId="0" fontId="24" fillId="3" borderId="43" xfId="0" applyFont="1" applyFill="1" applyBorder="1" applyAlignment="1">
      <alignment horizontal="left" vertical="center" wrapText="1"/>
    </xf>
    <xf numFmtId="0" fontId="23" fillId="3" borderId="4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top" wrapText="1"/>
    </xf>
    <xf numFmtId="44" fontId="6" fillId="3" borderId="26" xfId="0" applyNumberFormat="1" applyFont="1" applyFill="1" applyBorder="1" applyAlignment="1">
      <alignment vertical="center" wrapText="1"/>
    </xf>
    <xf numFmtId="44" fontId="6" fillId="3" borderId="19" xfId="0" applyNumberFormat="1" applyFont="1" applyFill="1" applyBorder="1" applyAlignment="1">
      <alignment vertical="center" wrapText="1"/>
    </xf>
    <xf numFmtId="0" fontId="4" fillId="0" borderId="10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27" fillId="2" borderId="4" xfId="0" applyFont="1" applyFill="1" applyBorder="1" applyAlignment="1">
      <alignment vertical="top" wrapText="1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14" fontId="0" fillId="0" borderId="11" xfId="0" applyNumberFormat="1" applyBorder="1" applyAlignment="1">
      <alignment wrapText="1"/>
    </xf>
    <xf numFmtId="0" fontId="0" fillId="0" borderId="10" xfId="0" applyBorder="1" applyAlignment="1">
      <alignment wrapText="1"/>
    </xf>
    <xf numFmtId="0" fontId="23" fillId="3" borderId="65" xfId="0" applyFont="1" applyFill="1" applyBorder="1" applyAlignment="1">
      <alignment horizontal="center" vertical="center" wrapText="1"/>
    </xf>
    <xf numFmtId="20" fontId="0" fillId="0" borderId="1" xfId="0" applyNumberFormat="1" applyBorder="1" applyAlignment="1">
      <alignment wrapText="1"/>
    </xf>
    <xf numFmtId="0" fontId="0" fillId="0" borderId="11" xfId="0" applyBorder="1" applyAlignment="1">
      <alignment wrapText="1"/>
    </xf>
    <xf numFmtId="20" fontId="6" fillId="5" borderId="10" xfId="0" applyNumberFormat="1" applyFont="1" applyFill="1" applyBorder="1" applyAlignment="1">
      <alignment wrapText="1"/>
    </xf>
    <xf numFmtId="20" fontId="0" fillId="0" borderId="11" xfId="0" applyNumberFormat="1" applyBorder="1" applyAlignment="1">
      <alignment wrapText="1"/>
    </xf>
    <xf numFmtId="164" fontId="0" fillId="0" borderId="1" xfId="0" applyNumberFormat="1" applyBorder="1" applyAlignment="1">
      <alignment wrapText="1"/>
    </xf>
    <xf numFmtId="164" fontId="6" fillId="5" borderId="1" xfId="0" applyNumberFormat="1" applyFont="1" applyFill="1" applyBorder="1" applyAlignment="1">
      <alignment wrapText="1"/>
    </xf>
    <xf numFmtId="20" fontId="6" fillId="5" borderId="1" xfId="0" applyNumberFormat="1" applyFont="1" applyFill="1" applyBorder="1" applyAlignment="1">
      <alignment wrapText="1"/>
    </xf>
    <xf numFmtId="20" fontId="0" fillId="0" borderId="10" xfId="0" applyNumberFormat="1" applyBorder="1" applyAlignment="1">
      <alignment wrapText="1"/>
    </xf>
    <xf numFmtId="164" fontId="18" fillId="0" borderId="1" xfId="0" applyNumberFormat="1" applyFont="1" applyBorder="1" applyAlignment="1">
      <alignment wrapText="1"/>
    </xf>
    <xf numFmtId="14" fontId="6" fillId="5" borderId="1" xfId="0" applyNumberFormat="1" applyFont="1" applyFill="1" applyBorder="1" applyAlignment="1">
      <alignment wrapText="1"/>
    </xf>
    <xf numFmtId="14" fontId="0" fillId="0" borderId="10" xfId="0" applyNumberFormat="1" applyBorder="1" applyAlignment="1">
      <alignment wrapText="1"/>
    </xf>
    <xf numFmtId="4" fontId="0" fillId="0" borderId="0" xfId="0" applyNumberFormat="1" applyAlignment="1">
      <alignment horizontal="left" vertical="top"/>
    </xf>
    <xf numFmtId="4" fontId="8" fillId="0" borderId="0" xfId="0" applyNumberFormat="1" applyFont="1" applyAlignment="1">
      <alignment horizontal="left" vertical="top"/>
    </xf>
    <xf numFmtId="0" fontId="0" fillId="0" borderId="66" xfId="0" applyBorder="1" applyAlignment="1">
      <alignment horizontal="left" vertical="top"/>
    </xf>
    <xf numFmtId="22" fontId="0" fillId="0" borderId="66" xfId="0" applyNumberFormat="1" applyBorder="1" applyAlignment="1">
      <alignment horizontal="left" vertical="top"/>
    </xf>
    <xf numFmtId="4" fontId="0" fillId="0" borderId="66" xfId="0" applyNumberFormat="1" applyBorder="1" applyAlignment="1">
      <alignment horizontal="left" vertical="top"/>
    </xf>
    <xf numFmtId="22" fontId="0" fillId="10" borderId="66" xfId="0" applyNumberFormat="1" applyFill="1" applyBorder="1" applyAlignment="1">
      <alignment horizontal="left" vertical="top"/>
    </xf>
    <xf numFmtId="4" fontId="0" fillId="10" borderId="66" xfId="0" applyNumberFormat="1" applyFill="1" applyBorder="1" applyAlignment="1">
      <alignment horizontal="left" vertical="top"/>
    </xf>
    <xf numFmtId="0" fontId="0" fillId="10" borderId="66" xfId="0" applyFill="1" applyBorder="1" applyAlignment="1">
      <alignment horizontal="left" vertical="top"/>
    </xf>
    <xf numFmtId="0" fontId="0" fillId="0" borderId="67" xfId="0" applyBorder="1" applyAlignment="1">
      <alignment horizontal="left" vertical="top"/>
    </xf>
    <xf numFmtId="0" fontId="0" fillId="0" borderId="43" xfId="0" applyBorder="1" applyAlignment="1">
      <alignment horizontal="left" vertical="top"/>
    </xf>
    <xf numFmtId="0" fontId="0" fillId="8" borderId="43" xfId="0" applyFill="1" applyBorder="1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8" fillId="0" borderId="0" xfId="0" applyFont="1"/>
    <xf numFmtId="0" fontId="4" fillId="0" borderId="8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11" fillId="0" borderId="0" xfId="0" applyFont="1" applyBorder="1" applyAlignment="1" applyProtection="1">
      <alignment vertical="top" wrapText="1"/>
      <protection locked="0"/>
    </xf>
    <xf numFmtId="0" fontId="0" fillId="0" borderId="0" xfId="0" applyBorder="1" applyAlignment="1">
      <alignment horizontal="left" vertical="top"/>
    </xf>
    <xf numFmtId="0" fontId="32" fillId="0" borderId="7" xfId="0" applyFont="1" applyFill="1" applyBorder="1" applyAlignment="1" applyProtection="1">
      <alignment horizontal="center" vertical="center" wrapText="1"/>
      <protection locked="0"/>
    </xf>
    <xf numFmtId="0" fontId="0" fillId="0" borderId="69" xfId="0" applyFont="1" applyFill="1" applyBorder="1" applyAlignment="1" applyProtection="1">
      <alignment horizontal="left" wrapText="1"/>
      <protection locked="0"/>
    </xf>
    <xf numFmtId="166" fontId="0" fillId="0" borderId="72" xfId="0" applyNumberFormat="1" applyFont="1" applyFill="1" applyBorder="1" applyAlignment="1" applyProtection="1">
      <alignment wrapText="1"/>
      <protection locked="0"/>
    </xf>
    <xf numFmtId="166" fontId="0" fillId="0" borderId="74" xfId="0" applyNumberFormat="1" applyFont="1" applyFill="1" applyBorder="1" applyAlignment="1" applyProtection="1">
      <alignment wrapText="1"/>
      <protection locked="0"/>
    </xf>
    <xf numFmtId="0" fontId="0" fillId="0" borderId="78" xfId="0" applyFont="1" applyFill="1" applyBorder="1" applyAlignment="1" applyProtection="1">
      <alignment horizontal="left" wrapText="1"/>
      <protection locked="0"/>
    </xf>
    <xf numFmtId="0" fontId="0" fillId="0" borderId="70" xfId="0" applyFont="1" applyFill="1" applyBorder="1" applyAlignment="1" applyProtection="1">
      <alignment horizontal="left" wrapText="1"/>
      <protection locked="0"/>
    </xf>
    <xf numFmtId="166" fontId="0" fillId="0" borderId="43" xfId="0" applyNumberFormat="1" applyFont="1" applyFill="1" applyBorder="1" applyAlignment="1" applyProtection="1">
      <alignment wrapText="1"/>
      <protection locked="0"/>
    </xf>
    <xf numFmtId="0" fontId="0" fillId="0" borderId="79" xfId="0" applyFont="1" applyFill="1" applyBorder="1" applyAlignment="1" applyProtection="1">
      <alignment horizontal="left" wrapText="1"/>
      <protection locked="0"/>
    </xf>
    <xf numFmtId="0" fontId="0" fillId="0" borderId="71" xfId="0" applyFont="1" applyFill="1" applyBorder="1" applyAlignment="1" applyProtection="1">
      <alignment horizontal="left" wrapText="1"/>
      <protection locked="0"/>
    </xf>
    <xf numFmtId="166" fontId="0" fillId="0" borderId="81" xfId="0" applyNumberFormat="1" applyFont="1" applyFill="1" applyBorder="1" applyAlignment="1" applyProtection="1">
      <alignment wrapText="1"/>
      <protection locked="0"/>
    </xf>
    <xf numFmtId="0" fontId="0" fillId="0" borderId="80" xfId="0" applyFont="1" applyFill="1" applyBorder="1" applyAlignment="1" applyProtection="1">
      <alignment horizontal="left" wrapText="1"/>
      <protection locked="0"/>
    </xf>
    <xf numFmtId="0" fontId="32" fillId="0" borderId="68" xfId="0" applyFont="1" applyFill="1" applyBorder="1" applyAlignment="1" applyProtection="1">
      <alignment horizontal="left" wrapText="1"/>
      <protection locked="0"/>
    </xf>
    <xf numFmtId="166" fontId="32" fillId="0" borderId="3" xfId="0" applyNumberFormat="1" applyFont="1" applyFill="1" applyBorder="1" applyAlignment="1" applyProtection="1">
      <alignment wrapText="1"/>
      <protection locked="0"/>
    </xf>
    <xf numFmtId="0" fontId="32" fillId="0" borderId="7" xfId="0" applyFont="1" applyFill="1" applyBorder="1" applyAlignment="1" applyProtection="1">
      <alignment horizontal="left" wrapText="1"/>
      <protection locked="0"/>
    </xf>
    <xf numFmtId="44" fontId="33" fillId="3" borderId="7" xfId="0" applyNumberFormat="1" applyFont="1" applyFill="1" applyBorder="1" applyAlignment="1" applyProtection="1">
      <alignment horizontal="center" vertical="center" wrapText="1"/>
    </xf>
    <xf numFmtId="0" fontId="32" fillId="0" borderId="89" xfId="0" applyFont="1" applyFill="1" applyBorder="1" applyAlignment="1" applyProtection="1">
      <alignment horizontal="center" vertical="center" wrapText="1"/>
    </xf>
    <xf numFmtId="2" fontId="26" fillId="0" borderId="13" xfId="0" applyNumberFormat="1" applyFont="1" applyBorder="1" applyAlignment="1">
      <alignment horizontal="center" vertical="center" wrapText="1"/>
    </xf>
    <xf numFmtId="0" fontId="32" fillId="0" borderId="75" xfId="0" applyFont="1" applyFill="1" applyBorder="1" applyAlignment="1" applyProtection="1">
      <alignment horizontal="center" vertical="center" wrapText="1"/>
      <protection locked="0"/>
    </xf>
    <xf numFmtId="0" fontId="32" fillId="0" borderId="89" xfId="0" applyFont="1" applyFill="1" applyBorder="1" applyAlignment="1" applyProtection="1">
      <alignment horizontal="center" vertical="center" wrapText="1"/>
      <protection locked="0"/>
    </xf>
    <xf numFmtId="0" fontId="32" fillId="0" borderId="86" xfId="0" applyFont="1" applyFill="1" applyBorder="1" applyAlignment="1" applyProtection="1">
      <alignment horizontal="center" vertical="center" wrapText="1"/>
      <protection locked="0"/>
    </xf>
    <xf numFmtId="0" fontId="30" fillId="10" borderId="7" xfId="0" applyFont="1" applyFill="1" applyBorder="1" applyAlignment="1" applyProtection="1">
      <alignment vertical="top" wrapText="1"/>
      <protection locked="0"/>
    </xf>
    <xf numFmtId="0" fontId="30" fillId="10" borderId="6" xfId="0" applyFont="1" applyFill="1" applyBorder="1" applyAlignment="1" applyProtection="1">
      <alignment vertical="top" wrapText="1"/>
      <protection locked="0"/>
    </xf>
    <xf numFmtId="0" fontId="22" fillId="0" borderId="0" xfId="0" applyFont="1" applyAlignment="1">
      <alignment horizontal="left" vertical="top"/>
    </xf>
    <xf numFmtId="0" fontId="5" fillId="10" borderId="7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wrapText="1"/>
    </xf>
    <xf numFmtId="0" fontId="0" fillId="0" borderId="7" xfId="0" applyBorder="1" applyAlignment="1">
      <alignment wrapText="1"/>
    </xf>
    <xf numFmtId="14" fontId="0" fillId="0" borderId="1" xfId="0" applyNumberFormat="1" applyBorder="1" applyAlignment="1">
      <alignment wrapText="1"/>
    </xf>
    <xf numFmtId="14" fontId="0" fillId="0" borderId="7" xfId="0" applyNumberFormat="1" applyBorder="1" applyAlignment="1">
      <alignment wrapText="1"/>
    </xf>
    <xf numFmtId="14" fontId="6" fillId="5" borderId="1" xfId="0" applyNumberFormat="1" applyFont="1" applyFill="1" applyBorder="1" applyAlignment="1">
      <alignment wrapText="1"/>
    </xf>
    <xf numFmtId="14" fontId="6" fillId="5" borderId="7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0" fillId="0" borderId="2" xfId="0" applyBorder="1" applyAlignment="1">
      <alignment wrapText="1"/>
    </xf>
    <xf numFmtId="0" fontId="0" fillId="5" borderId="1" xfId="0" applyFill="1" applyBorder="1" applyAlignment="1">
      <alignment wrapText="1"/>
    </xf>
    <xf numFmtId="0" fontId="0" fillId="5" borderId="7" xfId="0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6" fillId="5" borderId="7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7" xfId="0" applyFont="1" applyFill="1" applyBorder="1" applyAlignment="1">
      <alignment horizontal="center" vertical="top" wrapText="1"/>
    </xf>
    <xf numFmtId="44" fontId="10" fillId="4" borderId="2" xfId="0" applyNumberFormat="1" applyFont="1" applyFill="1" applyBorder="1" applyAlignment="1">
      <alignment horizontal="center" vertical="top" wrapText="1"/>
    </xf>
    <xf numFmtId="44" fontId="10" fillId="4" borderId="7" xfId="0" applyNumberFormat="1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left" vertical="top" wrapText="1"/>
    </xf>
    <xf numFmtId="0" fontId="13" fillId="4" borderId="7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44" fontId="7" fillId="3" borderId="1" xfId="0" applyNumberFormat="1" applyFont="1" applyFill="1" applyBorder="1" applyAlignment="1">
      <alignment horizontal="left" vertical="top" wrapText="1"/>
    </xf>
    <xf numFmtId="44" fontId="7" fillId="3" borderId="7" xfId="0" applyNumberFormat="1" applyFont="1" applyFill="1" applyBorder="1" applyAlignment="1">
      <alignment horizontal="left" vertical="top" wrapText="1"/>
    </xf>
    <xf numFmtId="44" fontId="6" fillId="0" borderId="1" xfId="0" quotePrefix="1" applyNumberFormat="1" applyFont="1" applyBorder="1" applyAlignment="1">
      <alignment horizontal="center" vertical="center" wrapText="1"/>
    </xf>
    <xf numFmtId="0" fontId="6" fillId="0" borderId="7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7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center" vertical="center" wrapText="1"/>
    </xf>
    <xf numFmtId="165" fontId="0" fillId="3" borderId="7" xfId="0" applyNumberFormat="1" applyFill="1" applyBorder="1" applyAlignment="1">
      <alignment horizontal="center" vertical="center" wrapText="1"/>
    </xf>
    <xf numFmtId="2" fontId="0" fillId="0" borderId="10" xfId="3" applyNumberFormat="1" applyFont="1" applyFill="1" applyBorder="1" applyAlignment="1">
      <alignment horizontal="center" vertical="center" wrapText="1"/>
    </xf>
    <xf numFmtId="2" fontId="0" fillId="0" borderId="20" xfId="3" applyNumberFormat="1" applyFon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13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0" xfId="0" quotePrefix="1" applyFont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3" borderId="26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1" fillId="0" borderId="10" xfId="0" quotePrefix="1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" fillId="3" borderId="26" xfId="0" quotePrefix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0" fillId="3" borderId="2" xfId="0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14" fillId="0" borderId="29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7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32" xfId="0" applyFont="1" applyBorder="1" applyAlignment="1">
      <alignment horizontal="left" vertical="top" wrapText="1"/>
    </xf>
    <xf numFmtId="0" fontId="14" fillId="0" borderId="33" xfId="0" applyFont="1" applyBorder="1" applyAlignment="1">
      <alignment horizontal="left" vertical="top" wrapText="1"/>
    </xf>
    <xf numFmtId="0" fontId="14" fillId="0" borderId="34" xfId="0" applyFont="1" applyBorder="1" applyAlignment="1">
      <alignment horizontal="left" vertical="top" wrapText="1"/>
    </xf>
    <xf numFmtId="0" fontId="14" fillId="0" borderId="35" xfId="0" applyFont="1" applyBorder="1" applyAlignment="1">
      <alignment horizontal="left" vertical="top" wrapText="1"/>
    </xf>
    <xf numFmtId="0" fontId="14" fillId="0" borderId="36" xfId="0" applyFont="1" applyBorder="1" applyAlignment="1">
      <alignment horizontal="left" vertical="top" wrapText="1"/>
    </xf>
    <xf numFmtId="0" fontId="14" fillId="0" borderId="37" xfId="0" applyFont="1" applyBorder="1" applyAlignment="1">
      <alignment horizontal="left" vertical="top" wrapText="1"/>
    </xf>
    <xf numFmtId="0" fontId="14" fillId="0" borderId="38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left" vertical="top" wrapText="1"/>
    </xf>
    <xf numFmtId="0" fontId="14" fillId="0" borderId="39" xfId="0" applyFont="1" applyBorder="1" applyAlignment="1">
      <alignment horizontal="left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 wrapText="1"/>
    </xf>
    <xf numFmtId="0" fontId="14" fillId="0" borderId="42" xfId="0" applyFont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left" vertical="top" wrapText="1"/>
    </xf>
    <xf numFmtId="0" fontId="19" fillId="8" borderId="60" xfId="0" applyFont="1" applyFill="1" applyBorder="1" applyAlignment="1">
      <alignment horizontal="center"/>
    </xf>
    <xf numFmtId="0" fontId="8" fillId="9" borderId="43" xfId="0" applyFont="1" applyFill="1" applyBorder="1" applyAlignment="1">
      <alignment horizontal="center"/>
    </xf>
    <xf numFmtId="0" fontId="0" fillId="0" borderId="50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9" fontId="0" fillId="5" borderId="44" xfId="2" applyNumberFormat="1" applyFont="1" applyFill="1" applyBorder="1" applyAlignment="1" applyProtection="1">
      <alignment horizontal="center" vertical="center"/>
      <protection locked="0"/>
    </xf>
    <xf numFmtId="9" fontId="0" fillId="5" borderId="51" xfId="2" applyNumberFormat="1" applyFont="1" applyFill="1" applyBorder="1" applyAlignment="1" applyProtection="1">
      <alignment horizontal="center" vertical="center"/>
      <protection locked="0"/>
    </xf>
    <xf numFmtId="0" fontId="0" fillId="0" borderId="52" xfId="0" applyBorder="1" applyAlignment="1">
      <alignment horizontal="left" vertical="center"/>
    </xf>
    <xf numFmtId="0" fontId="0" fillId="0" borderId="53" xfId="0" applyBorder="1" applyAlignment="1">
      <alignment horizontal="left" vertical="center"/>
    </xf>
    <xf numFmtId="0" fontId="0" fillId="5" borderId="53" xfId="2" applyNumberFormat="1" applyFont="1" applyFill="1" applyBorder="1" applyAlignment="1" applyProtection="1">
      <alignment horizontal="center" vertical="center"/>
      <protection locked="0"/>
    </xf>
    <xf numFmtId="0" fontId="0" fillId="5" borderId="54" xfId="2" applyNumberFormat="1" applyFont="1" applyFill="1" applyBorder="1" applyAlignment="1" applyProtection="1">
      <alignment horizontal="center" vertical="center"/>
      <protection locked="0"/>
    </xf>
    <xf numFmtId="0" fontId="19" fillId="8" borderId="43" xfId="0" applyFont="1" applyFill="1" applyBorder="1" applyAlignment="1">
      <alignment horizontal="center"/>
    </xf>
    <xf numFmtId="0" fontId="20" fillId="6" borderId="45" xfId="0" applyFont="1" applyFill="1" applyBorder="1" applyAlignment="1">
      <alignment horizontal="center"/>
    </xf>
    <xf numFmtId="0" fontId="20" fillId="6" borderId="46" xfId="0" applyFont="1" applyFill="1" applyBorder="1" applyAlignment="1">
      <alignment horizontal="center"/>
    </xf>
    <xf numFmtId="0" fontId="20" fillId="6" borderId="47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165" fontId="0" fillId="5" borderId="58" xfId="2" applyNumberFormat="1" applyFont="1" applyFill="1" applyBorder="1" applyAlignment="1">
      <alignment horizontal="center"/>
    </xf>
    <xf numFmtId="165" fontId="0" fillId="5" borderId="59" xfId="2" applyNumberFormat="1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0" xfId="0" applyAlignment="1">
      <alignment horizontal="center"/>
    </xf>
    <xf numFmtId="165" fontId="0" fillId="5" borderId="0" xfId="2" applyNumberFormat="1" applyFont="1" applyFill="1" applyBorder="1" applyAlignment="1">
      <alignment horizontal="center" vertical="center"/>
    </xf>
    <xf numFmtId="165" fontId="0" fillId="5" borderId="49" xfId="2" applyNumberFormat="1" applyFont="1" applyFill="1" applyBorder="1" applyAlignment="1">
      <alignment horizontal="center" vertical="center"/>
    </xf>
    <xf numFmtId="165" fontId="0" fillId="5" borderId="0" xfId="2" applyNumberFormat="1" applyFont="1" applyFill="1" applyBorder="1" applyAlignment="1">
      <alignment horizontal="center"/>
    </xf>
    <xf numFmtId="165" fontId="0" fillId="5" borderId="49" xfId="2" applyNumberFormat="1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5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9" fontId="0" fillId="5" borderId="53" xfId="2" applyNumberFormat="1" applyFont="1" applyFill="1" applyBorder="1" applyAlignment="1" applyProtection="1">
      <alignment horizontal="center" vertical="center"/>
      <protection locked="0"/>
    </xf>
    <xf numFmtId="9" fontId="0" fillId="5" borderId="54" xfId="2" applyNumberFormat="1" applyFont="1" applyFill="1" applyBorder="1" applyAlignment="1" applyProtection="1">
      <alignment horizontal="center" vertical="center"/>
      <protection locked="0"/>
    </xf>
    <xf numFmtId="0" fontId="26" fillId="6" borderId="61" xfId="0" applyFont="1" applyFill="1" applyBorder="1" applyAlignment="1">
      <alignment horizontal="center" vertical="center"/>
    </xf>
    <xf numFmtId="0" fontId="26" fillId="6" borderId="62" xfId="0" applyFont="1" applyFill="1" applyBorder="1" applyAlignment="1">
      <alignment horizontal="center" vertical="center"/>
    </xf>
    <xf numFmtId="0" fontId="26" fillId="6" borderId="63" xfId="0" applyFont="1" applyFill="1" applyBorder="1" applyAlignment="1">
      <alignment horizontal="center" vertical="center"/>
    </xf>
    <xf numFmtId="8" fontId="0" fillId="5" borderId="64" xfId="0" applyNumberFormat="1" applyFill="1" applyBorder="1" applyAlignment="1">
      <alignment horizontal="center"/>
    </xf>
    <xf numFmtId="0" fontId="0" fillId="5" borderId="58" xfId="0" applyFill="1" applyBorder="1" applyAlignment="1">
      <alignment horizontal="center"/>
    </xf>
    <xf numFmtId="0" fontId="0" fillId="5" borderId="59" xfId="0" applyFill="1" applyBorder="1" applyAlignment="1">
      <alignment horizontal="center"/>
    </xf>
    <xf numFmtId="0" fontId="22" fillId="0" borderId="9" xfId="0" applyFont="1" applyBorder="1" applyAlignment="1">
      <alignment horizontal="right" vertical="top"/>
    </xf>
    <xf numFmtId="0" fontId="2" fillId="10" borderId="1" xfId="0" applyFont="1" applyFill="1" applyBorder="1" applyAlignment="1">
      <alignment horizontal="left" vertical="top" wrapText="1"/>
    </xf>
    <xf numFmtId="0" fontId="2" fillId="10" borderId="2" xfId="0" applyFont="1" applyFill="1" applyBorder="1" applyAlignment="1">
      <alignment horizontal="left" vertical="top" wrapText="1"/>
    </xf>
    <xf numFmtId="0" fontId="3" fillId="10" borderId="1" xfId="0" applyFont="1" applyFill="1" applyBorder="1" applyAlignment="1">
      <alignment horizontal="center" vertical="top" wrapText="1"/>
    </xf>
    <xf numFmtId="0" fontId="3" fillId="10" borderId="2" xfId="0" applyFont="1" applyFill="1" applyBorder="1" applyAlignment="1">
      <alignment horizontal="center" vertical="top" wrapText="1"/>
    </xf>
    <xf numFmtId="0" fontId="2" fillId="10" borderId="1" xfId="0" applyFont="1" applyFill="1" applyBorder="1" applyAlignment="1" applyProtection="1">
      <alignment horizontal="left" vertical="top" wrapText="1"/>
      <protection locked="0"/>
    </xf>
    <xf numFmtId="0" fontId="2" fillId="10" borderId="2" xfId="0" applyFont="1" applyFill="1" applyBorder="1" applyAlignment="1" applyProtection="1">
      <alignment horizontal="left" vertical="top" wrapText="1"/>
      <protection locked="0"/>
    </xf>
    <xf numFmtId="0" fontId="2" fillId="10" borderId="7" xfId="0" applyFont="1" applyFill="1" applyBorder="1" applyAlignment="1" applyProtection="1">
      <alignment horizontal="left" vertical="top" wrapText="1"/>
      <protection locked="0"/>
    </xf>
    <xf numFmtId="14" fontId="0" fillId="0" borderId="73" xfId="0" applyNumberFormat="1" applyFont="1" applyFill="1" applyBorder="1" applyAlignment="1" applyProtection="1">
      <alignment wrapText="1"/>
      <protection locked="0"/>
    </xf>
    <xf numFmtId="14" fontId="0" fillId="0" borderId="74" xfId="0" applyNumberFormat="1" applyFont="1" applyFill="1" applyBorder="1" applyAlignment="1" applyProtection="1">
      <alignment wrapText="1"/>
      <protection locked="0"/>
    </xf>
    <xf numFmtId="0" fontId="0" fillId="0" borderId="73" xfId="0" applyFont="1" applyFill="1" applyBorder="1" applyAlignment="1" applyProtection="1">
      <alignment wrapText="1"/>
      <protection locked="0"/>
    </xf>
    <xf numFmtId="0" fontId="0" fillId="0" borderId="74" xfId="0" applyFont="1" applyFill="1" applyBorder="1" applyAlignment="1" applyProtection="1">
      <alignment wrapText="1"/>
      <protection locked="0"/>
    </xf>
    <xf numFmtId="14" fontId="0" fillId="0" borderId="43" xfId="0" applyNumberFormat="1" applyFont="1" applyFill="1" applyBorder="1" applyAlignment="1" applyProtection="1">
      <alignment wrapText="1"/>
      <protection locked="0"/>
    </xf>
    <xf numFmtId="0" fontId="0" fillId="0" borderId="43" xfId="0" applyFont="1" applyFill="1" applyBorder="1" applyAlignment="1" applyProtection="1">
      <alignment wrapText="1"/>
      <protection locked="0"/>
    </xf>
    <xf numFmtId="14" fontId="32" fillId="0" borderId="84" xfId="0" applyNumberFormat="1" applyFont="1" applyFill="1" applyBorder="1" applyAlignment="1" applyProtection="1">
      <alignment wrapText="1"/>
      <protection locked="0"/>
    </xf>
    <xf numFmtId="14" fontId="32" fillId="0" borderId="29" xfId="0" applyNumberFormat="1" applyFont="1" applyFill="1" applyBorder="1" applyAlignment="1" applyProtection="1">
      <alignment wrapText="1"/>
      <protection locked="0"/>
    </xf>
    <xf numFmtId="0" fontId="32" fillId="0" borderId="84" xfId="0" applyFont="1" applyFill="1" applyBorder="1" applyAlignment="1" applyProtection="1">
      <alignment wrapText="1"/>
      <protection locked="0"/>
    </xf>
    <xf numFmtId="0" fontId="32" fillId="0" borderId="29" xfId="0" applyFont="1" applyFill="1" applyBorder="1" applyAlignment="1" applyProtection="1">
      <alignment wrapText="1"/>
      <protection locked="0"/>
    </xf>
    <xf numFmtId="0" fontId="5" fillId="10" borderId="1" xfId="0" applyFont="1" applyFill="1" applyBorder="1" applyAlignment="1">
      <alignment horizontal="left" vertical="top" wrapText="1"/>
    </xf>
    <xf numFmtId="0" fontId="5" fillId="10" borderId="2" xfId="0" applyFont="1" applyFill="1" applyBorder="1" applyAlignment="1">
      <alignment horizontal="left" vertical="top" wrapText="1"/>
    </xf>
    <xf numFmtId="0" fontId="5" fillId="10" borderId="7" xfId="0" applyFont="1" applyFill="1" applyBorder="1" applyAlignment="1">
      <alignment horizontal="left" vertical="top" wrapText="1"/>
    </xf>
    <xf numFmtId="14" fontId="0" fillId="0" borderId="9" xfId="0" applyNumberFormat="1" applyFont="1" applyFill="1" applyBorder="1" applyAlignment="1" applyProtection="1">
      <alignment wrapText="1"/>
      <protection locked="0"/>
    </xf>
    <xf numFmtId="14" fontId="0" fillId="0" borderId="82" xfId="0" applyNumberFormat="1" applyFont="1" applyFill="1" applyBorder="1" applyAlignment="1" applyProtection="1">
      <alignment wrapText="1"/>
      <protection locked="0"/>
    </xf>
    <xf numFmtId="14" fontId="0" fillId="0" borderId="83" xfId="0" applyNumberFormat="1" applyFont="1" applyFill="1" applyBorder="1" applyAlignment="1" applyProtection="1">
      <alignment wrapText="1"/>
      <protection locked="0"/>
    </xf>
    <xf numFmtId="0" fontId="0" fillId="0" borderId="82" xfId="0" applyFont="1" applyFill="1" applyBorder="1" applyAlignment="1" applyProtection="1">
      <alignment wrapText="1"/>
      <protection locked="0"/>
    </xf>
    <xf numFmtId="0" fontId="0" fillId="0" borderId="83" xfId="0" applyFont="1" applyFill="1" applyBorder="1" applyAlignment="1" applyProtection="1">
      <alignment wrapText="1"/>
      <protection locked="0"/>
    </xf>
    <xf numFmtId="0" fontId="3" fillId="10" borderId="1" xfId="0" applyFont="1" applyFill="1" applyBorder="1" applyAlignment="1">
      <alignment horizontal="left" vertical="center" wrapText="1"/>
    </xf>
    <xf numFmtId="0" fontId="3" fillId="10" borderId="2" xfId="0" applyFont="1" applyFill="1" applyBorder="1" applyAlignment="1">
      <alignment horizontal="left" vertical="center" wrapText="1"/>
    </xf>
    <xf numFmtId="0" fontId="3" fillId="10" borderId="7" xfId="0" applyFont="1" applyFill="1" applyBorder="1" applyAlignment="1">
      <alignment horizontal="left" vertical="center" wrapText="1"/>
    </xf>
    <xf numFmtId="0" fontId="5" fillId="10" borderId="2" xfId="0" applyFont="1" applyFill="1" applyBorder="1" applyAlignment="1" applyProtection="1">
      <alignment horizontal="center" vertical="center" wrapText="1"/>
      <protection locked="0"/>
    </xf>
    <xf numFmtId="0" fontId="5" fillId="10" borderId="7" xfId="0" applyFont="1" applyFill="1" applyBorder="1" applyAlignment="1" applyProtection="1">
      <alignment horizontal="center" vertical="center" wrapText="1"/>
      <protection locked="0"/>
    </xf>
    <xf numFmtId="0" fontId="5" fillId="10" borderId="1" xfId="0" applyFont="1" applyFill="1" applyBorder="1" applyAlignment="1" applyProtection="1">
      <alignment horizontal="center" vertical="top" wrapText="1"/>
      <protection locked="0"/>
    </xf>
    <xf numFmtId="0" fontId="5" fillId="10" borderId="7" xfId="0" applyFont="1" applyFill="1" applyBorder="1" applyAlignment="1" applyProtection="1">
      <alignment horizontal="center" vertical="top" wrapText="1"/>
      <protection locked="0"/>
    </xf>
    <xf numFmtId="0" fontId="4" fillId="0" borderId="29" xfId="0" applyFont="1" applyBorder="1" applyAlignment="1">
      <alignment horizontal="left" vertical="top" wrapText="1"/>
    </xf>
    <xf numFmtId="2" fontId="33" fillId="3" borderId="84" xfId="0" applyNumberFormat="1" applyFont="1" applyFill="1" applyBorder="1" applyAlignment="1">
      <alignment horizontal="center" vertical="center"/>
    </xf>
    <xf numFmtId="2" fontId="33" fillId="3" borderId="29" xfId="0" applyNumberFormat="1" applyFont="1" applyFill="1" applyBorder="1" applyAlignment="1">
      <alignment horizontal="center" vertical="center"/>
    </xf>
    <xf numFmtId="0" fontId="32" fillId="0" borderId="84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2" fontId="32" fillId="3" borderId="84" xfId="0" applyNumberFormat="1" applyFont="1" applyFill="1" applyBorder="1" applyAlignment="1">
      <alignment horizontal="center" vertical="center" wrapText="1"/>
    </xf>
    <xf numFmtId="2" fontId="32" fillId="3" borderId="29" xfId="0" applyNumberFormat="1" applyFont="1" applyFill="1" applyBorder="1" applyAlignment="1">
      <alignment horizontal="center" vertical="center" wrapText="1"/>
    </xf>
    <xf numFmtId="44" fontId="33" fillId="3" borderId="84" xfId="0" quotePrefix="1" applyNumberFormat="1" applyFont="1" applyFill="1" applyBorder="1" applyAlignment="1">
      <alignment horizontal="center" vertical="center" wrapText="1"/>
    </xf>
    <xf numFmtId="44" fontId="33" fillId="3" borderId="29" xfId="0" quotePrefix="1" applyNumberFormat="1" applyFont="1" applyFill="1" applyBorder="1" applyAlignment="1">
      <alignment horizontal="center" vertical="center" wrapText="1"/>
    </xf>
    <xf numFmtId="44" fontId="33" fillId="3" borderId="84" xfId="0" applyNumberFormat="1" applyFont="1" applyFill="1" applyBorder="1" applyAlignment="1" applyProtection="1">
      <alignment horizontal="center" vertical="center" wrapText="1"/>
    </xf>
    <xf numFmtId="44" fontId="33" fillId="3" borderId="29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4" fontId="32" fillId="0" borderId="84" xfId="0" applyNumberFormat="1" applyFont="1" applyBorder="1" applyAlignment="1">
      <alignment horizontal="center" vertical="center" wrapText="1"/>
    </xf>
    <xf numFmtId="4" fontId="32" fillId="0" borderId="29" xfId="0" applyNumberFormat="1" applyFont="1" applyBorder="1" applyAlignment="1">
      <alignment horizontal="center" vertical="center" wrapText="1"/>
    </xf>
    <xf numFmtId="0" fontId="32" fillId="0" borderId="84" xfId="0" quotePrefix="1" applyFont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left" vertical="center" wrapText="1"/>
    </xf>
    <xf numFmtId="0" fontId="5" fillId="10" borderId="2" xfId="0" applyFont="1" applyFill="1" applyBorder="1" applyAlignment="1">
      <alignment horizontal="left" vertical="center" wrapText="1"/>
    </xf>
    <xf numFmtId="0" fontId="34" fillId="0" borderId="76" xfId="0" applyFont="1" applyBorder="1" applyAlignment="1">
      <alignment horizontal="left" vertical="top" wrapText="1"/>
    </xf>
    <xf numFmtId="0" fontId="34" fillId="0" borderId="77" xfId="0" applyFont="1" applyBorder="1" applyAlignment="1">
      <alignment horizontal="left" vertical="top" wrapText="1"/>
    </xf>
    <xf numFmtId="0" fontId="34" fillId="0" borderId="74" xfId="0" applyFont="1" applyBorder="1" applyAlignment="1">
      <alignment horizontal="left" vertical="top" wrapText="1"/>
    </xf>
    <xf numFmtId="0" fontId="32" fillId="0" borderId="73" xfId="0" quotePrefix="1" applyFont="1" applyFill="1" applyBorder="1" applyAlignment="1" applyProtection="1">
      <alignment horizontal="center" vertical="center" wrapText="1"/>
      <protection locked="0"/>
    </xf>
    <xf numFmtId="0" fontId="32" fillId="0" borderId="74" xfId="0" applyFont="1" applyFill="1" applyBorder="1" applyAlignment="1" applyProtection="1">
      <alignment horizontal="center" vertical="center" wrapText="1"/>
      <protection locked="0"/>
    </xf>
    <xf numFmtId="0" fontId="32" fillId="0" borderId="73" xfId="0" applyFont="1" applyFill="1" applyBorder="1" applyAlignment="1" applyProtection="1">
      <alignment horizontal="center" vertical="center" wrapText="1"/>
      <protection locked="0"/>
    </xf>
    <xf numFmtId="0" fontId="32" fillId="0" borderId="84" xfId="0" applyFont="1" applyFill="1" applyBorder="1" applyAlignment="1" applyProtection="1">
      <alignment horizontal="center" vertical="center" wrapText="1"/>
      <protection locked="0"/>
    </xf>
    <xf numFmtId="0" fontId="32" fillId="0" borderId="29" xfId="0" applyFont="1" applyFill="1" applyBorder="1" applyAlignment="1" applyProtection="1">
      <alignment horizontal="center" vertical="center" wrapText="1"/>
      <protection locked="0"/>
    </xf>
    <xf numFmtId="0" fontId="5" fillId="10" borderId="2" xfId="0" applyFont="1" applyFill="1" applyBorder="1" applyAlignment="1">
      <alignment horizontal="center" vertical="top" wrapText="1"/>
    </xf>
    <xf numFmtId="0" fontId="5" fillId="10" borderId="7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4" fillId="0" borderId="85" xfId="0" applyFont="1" applyBorder="1" applyAlignment="1">
      <alignment horizontal="left" vertical="top" wrapText="1"/>
    </xf>
    <xf numFmtId="0" fontId="14" fillId="0" borderId="60" xfId="0" applyFont="1" applyBorder="1" applyAlignment="1">
      <alignment horizontal="left" vertical="top" wrapText="1"/>
    </xf>
    <xf numFmtId="0" fontId="32" fillId="0" borderId="93" xfId="0" applyFont="1" applyFill="1" applyBorder="1" applyAlignment="1" applyProtection="1">
      <alignment horizontal="center" vertical="center" wrapText="1"/>
      <protection locked="0"/>
    </xf>
    <xf numFmtId="0" fontId="32" fillId="0" borderId="33" xfId="0" applyFont="1" applyFill="1" applyBorder="1" applyAlignment="1" applyProtection="1">
      <alignment horizontal="center" vertical="center" wrapText="1"/>
      <protection locked="0"/>
    </xf>
    <xf numFmtId="0" fontId="32" fillId="0" borderId="93" xfId="0" quotePrefix="1" applyFont="1" applyFill="1" applyBorder="1" applyAlignment="1" applyProtection="1">
      <alignment horizontal="center" vertical="center" wrapText="1"/>
      <protection locked="0"/>
    </xf>
    <xf numFmtId="0" fontId="4" fillId="0" borderId="87" xfId="0" applyFont="1" applyBorder="1" applyAlignment="1">
      <alignment horizontal="left" vertical="top" wrapText="1"/>
    </xf>
    <xf numFmtId="0" fontId="14" fillId="0" borderId="88" xfId="0" applyFont="1" applyBorder="1" applyAlignment="1">
      <alignment horizontal="left" vertical="top" wrapText="1"/>
    </xf>
    <xf numFmtId="0" fontId="14" fillId="0" borderId="90" xfId="0" applyFont="1" applyBorder="1" applyAlignment="1">
      <alignment horizontal="left" vertical="top" wrapText="1"/>
    </xf>
    <xf numFmtId="0" fontId="32" fillId="0" borderId="92" xfId="0" applyFont="1" applyFill="1" applyBorder="1" applyAlignment="1">
      <alignment horizontal="center" vertical="center" wrapText="1"/>
    </xf>
    <xf numFmtId="0" fontId="32" fillId="0" borderId="90" xfId="0" applyFont="1" applyFill="1" applyBorder="1" applyAlignment="1">
      <alignment horizontal="center" vertical="center" wrapText="1"/>
    </xf>
    <xf numFmtId="4" fontId="32" fillId="0" borderId="92" xfId="0" applyNumberFormat="1" applyFont="1" applyFill="1" applyBorder="1" applyAlignment="1">
      <alignment horizontal="center" vertical="center" wrapText="1"/>
    </xf>
    <xf numFmtId="4" fontId="32" fillId="0" borderId="90" xfId="0" applyNumberFormat="1" applyFont="1" applyFill="1" applyBorder="1" applyAlignment="1">
      <alignment horizontal="center" vertical="center" wrapText="1"/>
    </xf>
    <xf numFmtId="0" fontId="32" fillId="0" borderId="43" xfId="0" applyFont="1" applyFill="1" applyBorder="1" applyAlignment="1" applyProtection="1">
      <alignment horizontal="center" vertical="center" wrapText="1"/>
      <protection locked="0"/>
    </xf>
    <xf numFmtId="0" fontId="32" fillId="0" borderId="92" xfId="0" applyFont="1" applyFill="1" applyBorder="1" applyAlignment="1" applyProtection="1">
      <alignment horizontal="center" vertical="center" wrapText="1"/>
      <protection locked="0"/>
    </xf>
    <xf numFmtId="0" fontId="32" fillId="0" borderId="90" xfId="0" applyFont="1" applyFill="1" applyBorder="1" applyAlignment="1" applyProtection="1">
      <alignment horizontal="center" vertical="center" wrapText="1"/>
      <protection locked="0"/>
    </xf>
    <xf numFmtId="0" fontId="32" fillId="0" borderId="92" xfId="0" quotePrefix="1" applyFont="1" applyFill="1" applyBorder="1" applyAlignment="1" applyProtection="1">
      <alignment horizontal="center" vertical="center" wrapText="1"/>
      <protection locked="0"/>
    </xf>
    <xf numFmtId="0" fontId="4" fillId="0" borderId="87" xfId="0" applyFont="1" applyFill="1" applyBorder="1" applyAlignment="1" applyProtection="1">
      <alignment horizontal="left" vertical="top" wrapText="1"/>
      <protection locked="0"/>
    </xf>
    <xf numFmtId="0" fontId="14" fillId="0" borderId="88" xfId="0" applyFont="1" applyFill="1" applyBorder="1" applyAlignment="1" applyProtection="1">
      <alignment horizontal="left" vertical="top" wrapText="1"/>
      <protection locked="0"/>
    </xf>
    <xf numFmtId="0" fontId="14" fillId="0" borderId="90" xfId="0" applyFont="1" applyFill="1" applyBorder="1" applyAlignment="1" applyProtection="1">
      <alignment horizontal="left" vertical="top" wrapText="1"/>
      <protection locked="0"/>
    </xf>
    <xf numFmtId="0" fontId="32" fillId="0" borderId="92" xfId="0" quotePrefix="1" applyFont="1" applyFill="1" applyBorder="1" applyAlignment="1" applyProtection="1">
      <alignment horizontal="center" vertical="center" wrapText="1"/>
    </xf>
    <xf numFmtId="0" fontId="32" fillId="0" borderId="90" xfId="0" applyFont="1" applyFill="1" applyBorder="1" applyAlignment="1" applyProtection="1">
      <alignment horizontal="center" vertical="center" wrapText="1"/>
    </xf>
    <xf numFmtId="0" fontId="32" fillId="0" borderId="92" xfId="0" quotePrefix="1" applyFont="1" applyFill="1" applyBorder="1" applyAlignment="1">
      <alignment horizontal="center" vertical="center" wrapText="1"/>
    </xf>
    <xf numFmtId="0" fontId="32" fillId="0" borderId="92" xfId="0" applyFont="1" applyFill="1" applyBorder="1" applyAlignment="1" applyProtection="1">
      <alignment horizontal="center" vertical="center" wrapText="1"/>
    </xf>
    <xf numFmtId="0" fontId="2" fillId="10" borderId="1" xfId="0" applyFont="1" applyFill="1" applyBorder="1" applyAlignment="1" applyProtection="1">
      <alignment horizontal="left" vertical="top" wrapText="1"/>
    </xf>
    <xf numFmtId="0" fontId="2" fillId="10" borderId="2" xfId="0" applyFont="1" applyFill="1" applyBorder="1" applyAlignment="1" applyProtection="1">
      <alignment horizontal="left" vertical="top" wrapText="1"/>
    </xf>
    <xf numFmtId="0" fontId="2" fillId="10" borderId="7" xfId="0" applyFont="1" applyFill="1" applyBorder="1" applyAlignment="1" applyProtection="1">
      <alignment horizontal="left" vertical="top" wrapText="1"/>
    </xf>
    <xf numFmtId="0" fontId="28" fillId="0" borderId="1" xfId="0" applyFont="1" applyFill="1" applyBorder="1" applyAlignment="1" applyProtection="1">
      <alignment horizontal="left" vertical="top" wrapText="1"/>
    </xf>
    <xf numFmtId="0" fontId="28" fillId="0" borderId="2" xfId="0" applyFont="1" applyFill="1" applyBorder="1" applyAlignment="1" applyProtection="1">
      <alignment horizontal="left" vertical="top" wrapText="1"/>
    </xf>
    <xf numFmtId="0" fontId="28" fillId="0" borderId="7" xfId="0" applyFont="1" applyFill="1" applyBorder="1" applyAlignment="1" applyProtection="1">
      <alignment horizontal="left" vertical="top" wrapText="1"/>
    </xf>
    <xf numFmtId="0" fontId="28" fillId="0" borderId="6" xfId="0" applyFont="1" applyFill="1" applyBorder="1" applyAlignment="1" applyProtection="1">
      <alignment horizontal="left" vertical="top" wrapText="1"/>
    </xf>
    <xf numFmtId="0" fontId="28" fillId="0" borderId="14" xfId="0" applyFont="1" applyFill="1" applyBorder="1" applyAlignment="1" applyProtection="1">
      <alignment horizontal="left" vertical="top" wrapText="1"/>
    </xf>
    <xf numFmtId="0" fontId="34" fillId="0" borderId="0" xfId="0" applyFont="1" applyFill="1" applyAlignment="1" applyProtection="1">
      <alignment vertical="top" wrapText="1"/>
    </xf>
    <xf numFmtId="0" fontId="28" fillId="0" borderId="0" xfId="0" applyFont="1" applyFill="1" applyAlignment="1" applyProtection="1">
      <alignment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91" xfId="0" applyFont="1" applyBorder="1" applyAlignment="1">
      <alignment horizontal="left" vertical="top" wrapText="1"/>
    </xf>
    <xf numFmtId="0" fontId="32" fillId="0" borderId="94" xfId="0" applyFont="1" applyBorder="1" applyAlignment="1">
      <alignment horizontal="center" vertical="center" wrapText="1"/>
    </xf>
    <xf numFmtId="0" fontId="32" fillId="0" borderId="91" xfId="0" applyFont="1" applyBorder="1" applyAlignment="1">
      <alignment horizontal="center" vertical="center" wrapText="1"/>
    </xf>
    <xf numFmtId="2" fontId="26" fillId="0" borderId="94" xfId="0" applyNumberFormat="1" applyFont="1" applyBorder="1" applyAlignment="1">
      <alignment horizontal="center" vertical="center" wrapText="1"/>
    </xf>
    <xf numFmtId="2" fontId="26" fillId="0" borderId="91" xfId="0" applyNumberFormat="1" applyFont="1" applyBorder="1" applyAlignment="1">
      <alignment horizontal="center" vertical="center" wrapText="1"/>
    </xf>
    <xf numFmtId="4" fontId="26" fillId="0" borderId="94" xfId="0" applyNumberFormat="1" applyFont="1" applyBorder="1" applyAlignment="1">
      <alignment horizontal="center" vertical="center" wrapText="1"/>
    </xf>
    <xf numFmtId="4" fontId="26" fillId="0" borderId="91" xfId="0" applyNumberFormat="1" applyFont="1" applyBorder="1" applyAlignment="1">
      <alignment horizontal="center" vertical="center" wrapText="1"/>
    </xf>
    <xf numFmtId="0" fontId="6" fillId="0" borderId="10" xfId="0" applyFont="1" applyFill="1" applyBorder="1" applyAlignment="1" applyProtection="1">
      <alignment horizontal="left"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9" xfId="0" applyFont="1" applyFill="1" applyBorder="1" applyAlignment="1" applyProtection="1">
      <alignment horizontal="left"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9" xfId="0" applyFont="1" applyBorder="1" applyAlignment="1" applyProtection="1">
      <alignment horizontal="left" vertical="top" wrapText="1"/>
    </xf>
    <xf numFmtId="0" fontId="6" fillId="0" borderId="16" xfId="0" applyFont="1" applyBorder="1" applyAlignment="1" applyProtection="1">
      <alignment horizontal="left" vertical="top" wrapText="1"/>
    </xf>
    <xf numFmtId="0" fontId="34" fillId="0" borderId="31" xfId="0" applyFont="1" applyFill="1" applyBorder="1" applyAlignment="1" applyProtection="1">
      <alignment horizontal="left" vertical="top" wrapText="1"/>
      <protection locked="0"/>
    </xf>
    <xf numFmtId="0" fontId="28" fillId="0" borderId="31" xfId="0" applyFont="1" applyFill="1" applyBorder="1" applyAlignment="1" applyProtection="1">
      <alignment horizontal="left" vertical="top" wrapText="1"/>
      <protection locked="0"/>
    </xf>
    <xf numFmtId="0" fontId="28" fillId="0" borderId="5" xfId="0" applyFont="1" applyFill="1" applyBorder="1" applyAlignment="1" applyProtection="1">
      <alignment horizontal="left" vertical="top" wrapText="1"/>
    </xf>
    <xf numFmtId="0" fontId="28" fillId="0" borderId="30" xfId="0" applyFont="1" applyFill="1" applyBorder="1" applyAlignment="1" applyProtection="1">
      <alignment horizontal="left" vertical="top" wrapText="1"/>
    </xf>
    <xf numFmtId="0" fontId="34" fillId="0" borderId="3" xfId="0" applyFont="1" applyFill="1" applyBorder="1" applyAlignment="1" applyProtection="1">
      <alignment horizontal="left" vertical="top" wrapText="1"/>
    </xf>
    <xf numFmtId="0" fontId="28" fillId="0" borderId="3" xfId="0" applyFont="1" applyFill="1" applyBorder="1" applyAlignment="1" applyProtection="1">
      <alignment horizontal="left" vertical="top" wrapText="1"/>
    </xf>
    <xf numFmtId="0" fontId="34" fillId="0" borderId="94" xfId="0" applyFont="1" applyFill="1" applyBorder="1" applyAlignment="1" applyProtection="1">
      <alignment vertical="top" wrapText="1"/>
    </xf>
    <xf numFmtId="0" fontId="28" fillId="0" borderId="9" xfId="0" applyFont="1" applyFill="1" applyBorder="1" applyAlignment="1" applyProtection="1">
      <alignment vertical="top" wrapText="1"/>
    </xf>
    <xf numFmtId="0" fontId="28" fillId="0" borderId="91" xfId="0" applyFont="1" applyFill="1" applyBorder="1" applyAlignment="1" applyProtection="1">
      <alignment vertical="top" wrapText="1"/>
    </xf>
    <xf numFmtId="0" fontId="2" fillId="10" borderId="11" xfId="0" applyFont="1" applyFill="1" applyBorder="1" applyAlignment="1" applyProtection="1">
      <alignment horizontal="left" vertical="top" wrapText="1"/>
    </xf>
    <xf numFmtId="0" fontId="2" fillId="10" borderId="0" xfId="0" applyFont="1" applyFill="1" applyAlignment="1" applyProtection="1">
      <alignment horizontal="left" vertical="top" wrapText="1"/>
    </xf>
    <xf numFmtId="0" fontId="2" fillId="10" borderId="5" xfId="0" applyFont="1" applyFill="1" applyBorder="1" applyAlignment="1" applyProtection="1">
      <alignment horizontal="left" vertical="top" wrapText="1"/>
    </xf>
    <xf numFmtId="0" fontId="2" fillId="10" borderId="6" xfId="0" applyFont="1" applyFill="1" applyBorder="1" applyAlignment="1" applyProtection="1">
      <alignment horizontal="left" vertical="top" wrapText="1"/>
    </xf>
    <xf numFmtId="0" fontId="2" fillId="10" borderId="14" xfId="0" applyFont="1" applyFill="1" applyBorder="1" applyAlignment="1" applyProtection="1">
      <alignment horizontal="left" vertical="top" wrapText="1"/>
    </xf>
    <xf numFmtId="0" fontId="28" fillId="0" borderId="1" xfId="0" applyFont="1" applyFill="1" applyBorder="1" applyAlignment="1" applyProtection="1">
      <alignment horizontal="left" vertical="top" wrapText="1"/>
      <protection locked="0"/>
    </xf>
    <xf numFmtId="0" fontId="28" fillId="0" borderId="29" xfId="0" applyFont="1" applyFill="1" applyBorder="1" applyAlignment="1" applyProtection="1">
      <alignment horizontal="left" vertical="top" wrapText="1"/>
      <protection locked="0"/>
    </xf>
    <xf numFmtId="0" fontId="28" fillId="0" borderId="84" xfId="0" applyFont="1" applyFill="1" applyBorder="1" applyAlignment="1" applyProtection="1">
      <alignment horizontal="left" vertical="top" wrapText="1"/>
      <protection locked="0"/>
    </xf>
    <xf numFmtId="0" fontId="28" fillId="0" borderId="2" xfId="0" applyFont="1" applyFill="1" applyBorder="1" applyAlignment="1" applyProtection="1">
      <alignment horizontal="left" vertical="top" wrapText="1"/>
      <protection locked="0"/>
    </xf>
    <xf numFmtId="0" fontId="28" fillId="0" borderId="7" xfId="0" applyFont="1" applyFill="1" applyBorder="1" applyAlignment="1" applyProtection="1">
      <alignment horizontal="left" vertical="top" wrapText="1"/>
      <protection locked="0"/>
    </xf>
    <xf numFmtId="0" fontId="28" fillId="0" borderId="29" xfId="0" applyFont="1" applyFill="1" applyBorder="1" applyAlignment="1" applyProtection="1">
      <alignment horizontal="left" vertical="top" wrapText="1"/>
    </xf>
    <xf numFmtId="0" fontId="32" fillId="0" borderId="2" xfId="0" applyFont="1" applyFill="1" applyBorder="1" applyAlignment="1" applyProtection="1">
      <alignment horizontal="left" vertical="top" wrapText="1"/>
    </xf>
    <xf numFmtId="0" fontId="32" fillId="0" borderId="7" xfId="0" applyFont="1" applyFill="1" applyBorder="1" applyAlignment="1" applyProtection="1">
      <alignment horizontal="left" vertical="top" wrapText="1"/>
    </xf>
    <xf numFmtId="0" fontId="34" fillId="0" borderId="1" xfId="0" applyFont="1" applyFill="1" applyBorder="1" applyAlignment="1" applyProtection="1">
      <alignment horizontal="left" vertical="top" wrapText="1"/>
    </xf>
    <xf numFmtId="0" fontId="3" fillId="0" borderId="1" xfId="0" applyFont="1" applyFill="1" applyBorder="1" applyAlignment="1" applyProtection="1">
      <alignment horizontal="center" vertical="top" wrapText="1"/>
    </xf>
    <xf numFmtId="0" fontId="3" fillId="0" borderId="2" xfId="0" applyFont="1" applyFill="1" applyBorder="1" applyAlignment="1" applyProtection="1">
      <alignment horizontal="center" vertical="top" wrapText="1"/>
    </xf>
    <xf numFmtId="0" fontId="3" fillId="0" borderId="4" xfId="0" applyFont="1" applyFill="1" applyBorder="1" applyAlignment="1" applyProtection="1">
      <alignment horizontal="center" vertical="top" wrapText="1"/>
    </xf>
    <xf numFmtId="0" fontId="32" fillId="0" borderId="1" xfId="0" applyFont="1" applyFill="1" applyBorder="1" applyAlignment="1" applyProtection="1">
      <alignment horizontal="left" vertical="center" wrapText="1"/>
    </xf>
    <xf numFmtId="0" fontId="32" fillId="0" borderId="2" xfId="0" applyFont="1" applyFill="1" applyBorder="1" applyAlignment="1" applyProtection="1">
      <alignment horizontal="left" vertical="center" wrapText="1"/>
    </xf>
    <xf numFmtId="0" fontId="32" fillId="0" borderId="29" xfId="0" applyFont="1" applyFill="1" applyBorder="1" applyAlignment="1" applyProtection="1">
      <alignment horizontal="left" vertical="center" wrapText="1"/>
    </xf>
    <xf numFmtId="0" fontId="32" fillId="0" borderId="84" xfId="0" applyFont="1" applyFill="1" applyBorder="1" applyAlignment="1" applyProtection="1">
      <alignment horizontal="center" vertical="center" wrapText="1"/>
    </xf>
    <xf numFmtId="0" fontId="32" fillId="0" borderId="2" xfId="0" applyFont="1" applyFill="1" applyBorder="1" applyAlignment="1" applyProtection="1">
      <alignment horizontal="center" vertical="center" wrapText="1"/>
    </xf>
    <xf numFmtId="0" fontId="32" fillId="0" borderId="29" xfId="0" applyFont="1" applyFill="1" applyBorder="1" applyAlignment="1" applyProtection="1">
      <alignment horizontal="center" vertical="center" wrapText="1"/>
    </xf>
    <xf numFmtId="0" fontId="32" fillId="0" borderId="84" xfId="0" applyFont="1" applyFill="1" applyBorder="1" applyAlignment="1" applyProtection="1">
      <alignment horizontal="left" vertical="center" wrapText="1"/>
    </xf>
    <xf numFmtId="0" fontId="32" fillId="0" borderId="0" xfId="0" applyFont="1" applyFill="1" applyAlignment="1" applyProtection="1">
      <alignment horizontal="left" vertical="center" wrapText="1"/>
    </xf>
    <xf numFmtId="0" fontId="32" fillId="0" borderId="13" xfId="0" applyFont="1" applyFill="1" applyBorder="1" applyAlignment="1" applyProtection="1">
      <alignment horizontal="left" vertical="center" wrapText="1"/>
    </xf>
    <xf numFmtId="0" fontId="32" fillId="0" borderId="5" xfId="0" applyFont="1" applyFill="1" applyBorder="1" applyAlignment="1" applyProtection="1">
      <alignment horizontal="left" vertical="center" wrapText="1"/>
    </xf>
    <xf numFmtId="0" fontId="32" fillId="0" borderId="6" xfId="0" applyFont="1" applyFill="1" applyBorder="1" applyAlignment="1" applyProtection="1">
      <alignment horizontal="left" vertical="center" wrapText="1"/>
    </xf>
    <xf numFmtId="0" fontId="32" fillId="0" borderId="30" xfId="0" applyFont="1" applyFill="1" applyBorder="1" applyAlignment="1" applyProtection="1">
      <alignment horizontal="left" vertical="center" wrapText="1"/>
    </xf>
    <xf numFmtId="0" fontId="32" fillId="0" borderId="95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96" xfId="0" applyFont="1" applyFill="1" applyBorder="1" applyAlignment="1" applyProtection="1">
      <alignment horizontal="center" vertical="center" wrapText="1"/>
    </xf>
    <xf numFmtId="0" fontId="32" fillId="0" borderId="7" xfId="0" applyFont="1" applyFill="1" applyBorder="1" applyAlignment="1" applyProtection="1">
      <alignment horizontal="left" vertical="center" wrapText="1"/>
    </xf>
    <xf numFmtId="0" fontId="32" fillId="0" borderId="97" xfId="0" applyFont="1" applyFill="1" applyBorder="1" applyAlignment="1" applyProtection="1">
      <alignment horizontal="center" vertical="center" wrapText="1"/>
    </xf>
    <xf numFmtId="0" fontId="32" fillId="0" borderId="6" xfId="0" applyFont="1" applyFill="1" applyBorder="1" applyAlignment="1" applyProtection="1">
      <alignment horizontal="center" vertical="center" wrapText="1"/>
    </xf>
    <xf numFmtId="0" fontId="32" fillId="0" borderId="30" xfId="0" applyFont="1" applyFill="1" applyBorder="1" applyAlignment="1" applyProtection="1">
      <alignment horizontal="center" vertical="center" wrapText="1"/>
    </xf>
    <xf numFmtId="0" fontId="37" fillId="0" borderId="10" xfId="0" applyFont="1" applyFill="1" applyBorder="1" applyAlignment="1" applyProtection="1">
      <alignment horizontal="center" vertical="top" wrapText="1"/>
    </xf>
    <xf numFmtId="0" fontId="37" fillId="0" borderId="9" xfId="0" applyFont="1" applyFill="1" applyBorder="1" applyAlignment="1" applyProtection="1">
      <alignment horizontal="center" vertical="top" wrapText="1"/>
    </xf>
    <xf numFmtId="0" fontId="37" fillId="0" borderId="91" xfId="0" applyFont="1" applyFill="1" applyBorder="1" applyAlignment="1" applyProtection="1">
      <alignment horizontal="center" vertical="top" wrapText="1"/>
    </xf>
    <xf numFmtId="0" fontId="32" fillId="0" borderId="84" xfId="0" applyFont="1" applyFill="1" applyBorder="1" applyAlignment="1" applyProtection="1">
      <alignment horizontal="center" vertical="top" wrapText="1"/>
    </xf>
    <xf numFmtId="0" fontId="32" fillId="0" borderId="2" xfId="0" applyFont="1" applyFill="1" applyBorder="1" applyAlignment="1" applyProtection="1">
      <alignment horizontal="center" vertical="top" wrapText="1"/>
    </xf>
    <xf numFmtId="0" fontId="32" fillId="0" borderId="29" xfId="0" applyFont="1" applyFill="1" applyBorder="1" applyAlignment="1" applyProtection="1">
      <alignment horizontal="center" vertical="top" wrapText="1"/>
    </xf>
    <xf numFmtId="0" fontId="32" fillId="0" borderId="7" xfId="0" applyFont="1" applyFill="1" applyBorder="1" applyAlignment="1" applyProtection="1">
      <alignment horizontal="center" vertical="top" wrapText="1"/>
    </xf>
    <xf numFmtId="0" fontId="34" fillId="0" borderId="33" xfId="0" applyFont="1" applyFill="1" applyBorder="1" applyAlignment="1" applyProtection="1">
      <alignment horizontal="left" vertical="top" wrapText="1"/>
    </xf>
    <xf numFmtId="0" fontId="34" fillId="0" borderId="34" xfId="0" applyFont="1" applyFill="1" applyBorder="1" applyAlignment="1" applyProtection="1">
      <alignment horizontal="left" vertical="top" wrapText="1"/>
    </xf>
    <xf numFmtId="0" fontId="34" fillId="0" borderId="35" xfId="0" applyFont="1" applyFill="1" applyBorder="1" applyAlignment="1" applyProtection="1">
      <alignment horizontal="left" vertical="top" wrapText="1"/>
    </xf>
    <xf numFmtId="0" fontId="34" fillId="0" borderId="36" xfId="0" applyFont="1" applyFill="1" applyBorder="1" applyAlignment="1" applyProtection="1">
      <alignment horizontal="left" vertical="top" wrapText="1"/>
    </xf>
    <xf numFmtId="0" fontId="34" fillId="0" borderId="37" xfId="0" applyFont="1" applyFill="1" applyBorder="1" applyAlignment="1" applyProtection="1">
      <alignment horizontal="left" vertical="top" wrapText="1"/>
    </xf>
    <xf numFmtId="0" fontId="34" fillId="0" borderId="38" xfId="0" applyFont="1" applyFill="1" applyBorder="1" applyAlignment="1" applyProtection="1">
      <alignment horizontal="left" vertical="top" wrapText="1"/>
    </xf>
    <xf numFmtId="0" fontId="34" fillId="0" borderId="68" xfId="0" applyFont="1" applyFill="1" applyBorder="1" applyAlignment="1" applyProtection="1">
      <alignment horizontal="left" vertical="top" wrapText="1"/>
    </xf>
    <xf numFmtId="0" fontId="34" fillId="0" borderId="30" xfId="0" applyFont="1" applyFill="1" applyBorder="1" applyAlignment="1" applyProtection="1">
      <alignment horizontal="left" vertical="top" wrapText="1"/>
    </xf>
    <xf numFmtId="0" fontId="28" fillId="0" borderId="31" xfId="0" applyFont="1" applyFill="1" applyBorder="1" applyAlignment="1" applyProtection="1">
      <alignment horizontal="left" vertical="top" wrapText="1"/>
    </xf>
    <xf numFmtId="0" fontId="28" fillId="0" borderId="32" xfId="0" applyFont="1" applyFill="1" applyBorder="1" applyAlignment="1" applyProtection="1">
      <alignment horizontal="left" vertical="top" wrapText="1"/>
    </xf>
  </cellXfs>
  <cellStyles count="4">
    <cellStyle name="Dziesiętny" xfId="1" builtinId="3"/>
    <cellStyle name="Normalny" xfId="0" builtinId="0"/>
    <cellStyle name="Walutowy" xfId="2" builtinId="4"/>
    <cellStyle name="Walutowy [0]" xfId="3" builtinId="7"/>
  </cellStyles>
  <dxfs count="1">
    <dxf>
      <font>
        <color rgb="FFFF0000"/>
      </font>
    </dxf>
  </dxfs>
  <tableStyles count="0" defaultTableStyle="TableStyleMedium2" defaultPivotStyle="PivotStyleLight16"/>
  <colors>
    <mruColors>
      <color rgb="FFDCDADA"/>
      <color rgb="FFD8D6D6"/>
      <color rgb="FFD0CECE"/>
      <color rgb="FFDDDB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H$4" lockText="1" noThreeD="1"/>
</file>

<file path=xl/ctrlProps/ctrlProp2.xml><?xml version="1.0" encoding="utf-8"?>
<formControlPr xmlns="http://schemas.microsoft.com/office/spreadsheetml/2009/9/main" objectType="CheckBox" fmlaLink="$K$4" lockText="1" noThreeD="1"/>
</file>

<file path=xl/ctrlProps/ctrlProp3.xml><?xml version="1.0" encoding="utf-8"?>
<formControlPr xmlns="http://schemas.microsoft.com/office/spreadsheetml/2009/9/main" objectType="CheckBox" checked="Checked" fmlaLink="$H$3" lockText="1" noThreeD="1"/>
</file>

<file path=xl/ctrlProps/ctrlProp4.xml><?xml version="1.0" encoding="utf-8"?>
<formControlPr xmlns="http://schemas.microsoft.com/office/spreadsheetml/2009/9/main" objectType="CheckBox" fmlaLink="$K$3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695325</xdr:colOff>
      <xdr:row>15</xdr:row>
      <xdr:rowOff>180984</xdr:rowOff>
    </xdr:from>
    <xdr:to>
      <xdr:col>0</xdr:col>
      <xdr:colOff>1838325</xdr:colOff>
      <xdr:row>18</xdr:row>
      <xdr:rowOff>142879</xdr:rowOff>
    </xdr:to>
    <xdr:sp macro="" textlink="">
      <xdr:nvSpPr>
        <xdr:cNvPr id="13" name="Objaśnienie prostokątn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 rot="5400000">
          <a:off x="981077" y="3714757"/>
          <a:ext cx="571495" cy="1143000"/>
        </a:xfrm>
        <a:prstGeom prst="wedgeRectCallout">
          <a:avLst>
            <a:gd name="adj1" fmla="val 96562"/>
            <a:gd name="adj2" fmla="val -13021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14</xdr:col>
      <xdr:colOff>895349</xdr:colOff>
      <xdr:row>3</xdr:row>
      <xdr:rowOff>1</xdr:rowOff>
    </xdr:from>
    <xdr:to>
      <xdr:col>19</xdr:col>
      <xdr:colOff>180974</xdr:colOff>
      <xdr:row>27</xdr:row>
      <xdr:rowOff>57149</xdr:rowOff>
    </xdr:to>
    <xdr:grpSp>
      <xdr:nvGrpSpPr>
        <xdr:cNvPr id="12" name="Grupa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pSpPr/>
      </xdr:nvGrpSpPr>
      <xdr:grpSpPr>
        <a:xfrm>
          <a:off x="10648949" y="495301"/>
          <a:ext cx="3133725" cy="5438773"/>
          <a:chOff x="6329688" y="138064"/>
          <a:chExt cx="11469354" cy="1723320"/>
        </a:xfrm>
      </xdr:grpSpPr>
      <xdr:sp macro="" textlink="">
        <xdr:nvSpPr>
          <xdr:cNvPr id="14" name="Objaśnienie ze strzałką w lewo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/>
        </xdr:nvSpPr>
        <xdr:spPr>
          <a:xfrm>
            <a:off x="6329688" y="138064"/>
            <a:ext cx="11469354" cy="1723320"/>
          </a:xfrm>
          <a:prstGeom prst="leftArrowCallout">
            <a:avLst>
              <a:gd name="adj1" fmla="val 3644"/>
              <a:gd name="adj2" fmla="val 4838"/>
              <a:gd name="adj3" fmla="val 12055"/>
              <a:gd name="adj4" fmla="val 92991"/>
            </a:avLst>
          </a:prstGeom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  <xdr:sp macro="" textlink="">
        <xdr:nvSpPr>
          <xdr:cNvPr id="10" name="pole tekstowe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7913432" y="161925"/>
            <a:ext cx="9537001" cy="167253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accent4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pl-PL" sz="9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Dane dotyczą</a:t>
            </a:r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pl-PL" sz="9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głównego celu </a:t>
            </a:r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(kraju) zagranicznej podróży służbowej, albo w wypadku delegacji wielopaństwowej </a:t>
            </a:r>
            <a:r>
              <a:rPr lang="pl-PL" sz="9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pierwszego kraju docelowego</a:t>
            </a:r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r>
              <a:rPr lang="pl-PL" sz="900" u="sng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Uwaga:</a:t>
            </a:r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pl-PL" sz="90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nie należy traktowac noclegów w czasie przejazdu  jako odrębnych państw docelowych, np. w drodze do Francji (kraj docelowy) samochodem osobowym, nocleg w Niemczech - to mimo postoju w Niemczech w rozliczeniu podróży należy wykazać jedynie jeden kraj docelowy Francję.</a:t>
            </a:r>
            <a:endParaRPr lang="pl-PL" sz="900" i="1">
              <a:effectLst/>
            </a:endParaRPr>
          </a:p>
          <a:p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endParaRPr lang="pl-PL" sz="900">
              <a:effectLst/>
            </a:endParaRPr>
          </a:p>
          <a:p>
            <a:r>
              <a:rPr lang="pl-PL" sz="9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Za początek i koniec części zagranicznej podróży służbowej uważa się zawsze moment przekroczenia granicy</a:t>
            </a:r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, który jest zależny od środka komunikacji:</a:t>
            </a:r>
            <a:endParaRPr lang="pl-PL" sz="900">
              <a:effectLst/>
            </a:endParaRPr>
          </a:p>
          <a:p>
            <a:r>
              <a:rPr lang="pl-PL" sz="9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1) lądowej - od chwili przekroczenia granicy państwowej w drodze za granicę do chwili jej przekroczenia w drodze powrotnej do kraju;</a:t>
            </a:r>
            <a:endParaRPr lang="pl-PL" sz="900">
              <a:effectLst/>
            </a:endParaRPr>
          </a:p>
          <a:p>
            <a:r>
              <a:rPr lang="pl-PL" sz="9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2) lotniczej - od chwili startu samolotu w drodze za granicę z ostatniego lotniska w kraju do chwili lądowania samolotu w drodze powrotnej na pierwszym lotnisku w kraju;</a:t>
            </a:r>
            <a:endParaRPr lang="pl-PL" sz="900">
              <a:effectLst/>
            </a:endParaRPr>
          </a:p>
          <a:p>
            <a:r>
              <a:rPr lang="pl-PL" sz="9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3) morskiej - od chwili wyjścia statku (promu) z ostatniego portu polskiego do chwili wejścia statku (promu) w drodze powrotnej do pierwszego portu polskiego.</a:t>
            </a:r>
          </a:p>
          <a:p>
            <a:endParaRPr lang="pl-PL" sz="900">
              <a:effectLst/>
            </a:endParaRPr>
          </a:p>
          <a:p>
            <a:r>
              <a:rPr lang="pl-PL" sz="9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W rozliczeniu czasu trwania całej podróży bardzo ważne jest precyzyjne określenie czasu przejazdów</a:t>
            </a:r>
            <a:r>
              <a:rPr lang="pl-PL" sz="9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r>
              <a:rPr lang="pl-PL" sz="90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Przykładowo: w czasie podróży z Polski do Francji należy za czas "Przejazdu do" podać start samolotu z Polski i lądowanie samolotu we Francji, a za czas "Przejazdu z" określa się najczęściej moment startu samolotu z Francji i lądowanie w Polsce. Międzylądowania nawet jeżeli dotyczą innych krajów, np. międzylądowanie w Niemczech traktuje się jako element głównego przejazdu i nie rozlicza odrębnie. </a:t>
            </a:r>
            <a:endParaRPr lang="pl-PL" sz="900">
              <a:effectLst/>
            </a:endParaRPr>
          </a:p>
          <a:p>
            <a:endParaRPr lang="pl-PL" sz="1100"/>
          </a:p>
        </xdr:txBody>
      </xdr:sp>
    </xdr:grpSp>
    <xdr:clientData/>
  </xdr:twoCellAnchor>
  <xdr:twoCellAnchor>
    <xdr:from>
      <xdr:col>1</xdr:col>
      <xdr:colOff>0</xdr:colOff>
      <xdr:row>1</xdr:row>
      <xdr:rowOff>9526</xdr:rowOff>
    </xdr:from>
    <xdr:to>
      <xdr:col>3</xdr:col>
      <xdr:colOff>171450</xdr:colOff>
      <xdr:row>2</xdr:row>
      <xdr:rowOff>104775</xdr:rowOff>
    </xdr:to>
    <xdr:sp macro="" textlink="">
      <xdr:nvSpPr>
        <xdr:cNvPr id="15" name="Objaśnienie liniowe 3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2733675" y="657226"/>
          <a:ext cx="1628775" cy="257174"/>
        </a:xfrm>
        <a:prstGeom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434339"/>
            <a:gd name="adj8" fmla="val 96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miejsce przekroczenia granicy</a:t>
          </a:r>
        </a:p>
      </xdr:txBody>
    </xdr:sp>
    <xdr:clientData/>
  </xdr:twoCellAnchor>
  <xdr:twoCellAnchor>
    <xdr:from>
      <xdr:col>5</xdr:col>
      <xdr:colOff>9525</xdr:colOff>
      <xdr:row>1</xdr:row>
      <xdr:rowOff>19050</xdr:rowOff>
    </xdr:from>
    <xdr:to>
      <xdr:col>8</xdr:col>
      <xdr:colOff>257175</xdr:colOff>
      <xdr:row>2</xdr:row>
      <xdr:rowOff>114300</xdr:rowOff>
    </xdr:to>
    <xdr:sp macro="" textlink="">
      <xdr:nvSpPr>
        <xdr:cNvPr id="16" name="Objaśnienie liniowe 2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4943475" y="666750"/>
          <a:ext cx="1885950" cy="257175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432600"/>
            <a:gd name="adj6" fmla="val 4653"/>
          </a:avLst>
        </a:prstGeom>
        <a:ln>
          <a:solidFill>
            <a:schemeClr val="accent6">
              <a:lumMod val="7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Czas/godzina przekroczenia granicy </a:t>
          </a:r>
        </a:p>
      </xdr:txBody>
    </xdr:sp>
    <xdr:clientData/>
  </xdr:twoCellAnchor>
  <xdr:twoCellAnchor>
    <xdr:from>
      <xdr:col>12</xdr:col>
      <xdr:colOff>142874</xdr:colOff>
      <xdr:row>0</xdr:row>
      <xdr:rowOff>28574</xdr:rowOff>
    </xdr:from>
    <xdr:to>
      <xdr:col>14</xdr:col>
      <xdr:colOff>1076324</xdr:colOff>
      <xdr:row>2</xdr:row>
      <xdr:rowOff>114300</xdr:rowOff>
    </xdr:to>
    <xdr:sp macro="" textlink="">
      <xdr:nvSpPr>
        <xdr:cNvPr id="17" name="Objaśnienie liniowe 2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010649" y="514349"/>
          <a:ext cx="1819275" cy="409576"/>
        </a:xfrm>
        <a:prstGeom prst="borderCallout2">
          <a:avLst>
            <a:gd name="adj1" fmla="val 55483"/>
            <a:gd name="adj2" fmla="val 103519"/>
            <a:gd name="adj3" fmla="val 140872"/>
            <a:gd name="adj4" fmla="val 105089"/>
            <a:gd name="adj5" fmla="val 289367"/>
            <a:gd name="adj6" fmla="val 80355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Komunikacja lądowa: samochód prywatny,</a:t>
          </a:r>
          <a:r>
            <a:rPr lang="pl-PL" sz="900" baseline="0"/>
            <a:t> słóżbowy, bus, pociąg, </a:t>
          </a:r>
          <a:r>
            <a:rPr lang="pl-PL" sz="900"/>
            <a:t> </a:t>
          </a:r>
        </a:p>
      </xdr:txBody>
    </xdr:sp>
    <xdr:clientData/>
  </xdr:twoCellAnchor>
  <xdr:twoCellAnchor>
    <xdr:from>
      <xdr:col>13</xdr:col>
      <xdr:colOff>295275</xdr:colOff>
      <xdr:row>8</xdr:row>
      <xdr:rowOff>0</xdr:rowOff>
    </xdr:from>
    <xdr:to>
      <xdr:col>14</xdr:col>
      <xdr:colOff>1057275</xdr:colOff>
      <xdr:row>9</xdr:row>
      <xdr:rowOff>161925</xdr:rowOff>
    </xdr:to>
    <xdr:sp macro="" textlink="">
      <xdr:nvSpPr>
        <xdr:cNvPr id="19" name="Objaśnienie liniowe 2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7058025" y="2219325"/>
          <a:ext cx="1171575" cy="390525"/>
        </a:xfrm>
        <a:prstGeom prst="borderCallout2">
          <a:avLst>
            <a:gd name="adj1" fmla="val 48465"/>
            <a:gd name="adj2" fmla="val -3148"/>
            <a:gd name="adj3" fmla="val 81469"/>
            <a:gd name="adj4" fmla="val -15272"/>
            <a:gd name="adj5" fmla="val 135992"/>
            <a:gd name="adj6" fmla="val 19345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Komunikacja lotnicza: samolot</a:t>
          </a:r>
        </a:p>
      </xdr:txBody>
    </xdr:sp>
    <xdr:clientData/>
  </xdr:twoCellAnchor>
  <xdr:twoCellAnchor>
    <xdr:from>
      <xdr:col>4</xdr:col>
      <xdr:colOff>371475</xdr:colOff>
      <xdr:row>8</xdr:row>
      <xdr:rowOff>9525</xdr:rowOff>
    </xdr:from>
    <xdr:to>
      <xdr:col>8</xdr:col>
      <xdr:colOff>76200</xdr:colOff>
      <xdr:row>9</xdr:row>
      <xdr:rowOff>180975</xdr:rowOff>
    </xdr:to>
    <xdr:sp macro="" textlink="">
      <xdr:nvSpPr>
        <xdr:cNvPr id="21" name="Objaśnienie liniowe 2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4905375" y="1743075"/>
          <a:ext cx="1743075" cy="400050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178698"/>
            <a:gd name="adj6" fmla="val 2139"/>
          </a:avLst>
        </a:prstGeom>
        <a:ln>
          <a:solidFill>
            <a:schemeClr val="accent6">
              <a:lumMod val="7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Czas/godzina przekroczenia granicy </a:t>
          </a:r>
          <a:r>
            <a:rPr lang="pl-PL" sz="9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od chwili startu samolotu </a:t>
          </a:r>
          <a:endParaRPr lang="pl-PL" sz="900"/>
        </a:p>
      </xdr:txBody>
    </xdr:sp>
    <xdr:clientData/>
  </xdr:twoCellAnchor>
  <xdr:twoCellAnchor>
    <xdr:from>
      <xdr:col>0</xdr:col>
      <xdr:colOff>2333625</xdr:colOff>
      <xdr:row>8</xdr:row>
      <xdr:rowOff>9525</xdr:rowOff>
    </xdr:from>
    <xdr:to>
      <xdr:col>2</xdr:col>
      <xdr:colOff>161925</xdr:colOff>
      <xdr:row>9</xdr:row>
      <xdr:rowOff>190500</xdr:rowOff>
    </xdr:to>
    <xdr:sp macro="" textlink="">
      <xdr:nvSpPr>
        <xdr:cNvPr id="25" name="Objaśnienie liniowe 3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2333625" y="1743075"/>
          <a:ext cx="1571625" cy="409575"/>
        </a:xfrm>
        <a:prstGeom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180591"/>
            <a:gd name="adj8" fmla="val 1744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miejsce przekroczenia granicy - </a:t>
          </a:r>
          <a:r>
            <a:rPr lang="pl-PL" sz="9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ostatnie lotnisko w kraju </a:t>
          </a:r>
          <a:endParaRPr lang="pl-PL" sz="900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2609850</xdr:colOff>
      <xdr:row>18</xdr:row>
      <xdr:rowOff>142875</xdr:rowOff>
    </xdr:to>
    <xdr:sp macro="" textlink="">
      <xdr:nvSpPr>
        <xdr:cNvPr id="7" name="Objaśnienie prostokątn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2876550"/>
          <a:ext cx="2609850" cy="1209675"/>
        </a:xfrm>
        <a:prstGeom prst="wedgeRectCallout">
          <a:avLst>
            <a:gd name="adj1" fmla="val 55124"/>
            <a:gd name="adj2" fmla="val 63653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Dieta</a:t>
          </a:r>
          <a:r>
            <a:rPr lang="pl-PL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pobytowa </a:t>
          </a: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powinna się</a:t>
          </a:r>
          <a:r>
            <a:rPr lang="pl-PL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wyliczyć po wskazaniu daty i godziny czasu rozpoczęcia i zakończenia podróży słóżbowej. Czyli: 24h= 1 doba ( 9 dni 8 godzin i 0 min) Dodatkowo kwota powinna zostać pomniejszona o wpisaną ilość śniadań, obiadów oraz kolacji wyliczoną zgodnie z danymi w tabeli. (Czyli ilość *stawka) - (kwota z tabeli * ilość posiłków)</a:t>
          </a:r>
          <a:endParaRPr lang="pl-PL" sz="1100"/>
        </a:p>
      </xdr:txBody>
    </xdr:sp>
    <xdr:clientData/>
  </xdr:twoCellAnchor>
  <xdr:twoCellAnchor>
    <xdr:from>
      <xdr:col>0</xdr:col>
      <xdr:colOff>0</xdr:colOff>
      <xdr:row>20</xdr:row>
      <xdr:rowOff>9526</xdr:rowOff>
    </xdr:from>
    <xdr:to>
      <xdr:col>0</xdr:col>
      <xdr:colOff>2590800</xdr:colOff>
      <xdr:row>23</xdr:row>
      <xdr:rowOff>180975</xdr:rowOff>
    </xdr:to>
    <xdr:sp macro="" textlink="">
      <xdr:nvSpPr>
        <xdr:cNvPr id="20" name="Objaśnienie prostokątn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0" y="4829176"/>
          <a:ext cx="2590800" cy="800099"/>
        </a:xfrm>
        <a:prstGeom prst="wedgeRectCallout">
          <a:avLst>
            <a:gd name="adj1" fmla="val 57294"/>
            <a:gd name="adj2" fmla="val 19361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Sprawdzaj: stosuj limit na nocleg, ilość noclegów dzielona na kwotę brutto z faktury &lt; limit tabela (informacja powinna się znaleźć</a:t>
          </a:r>
          <a:r>
            <a:rPr lang="pl-PL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 wydruku -</a:t>
          </a:r>
          <a:r>
            <a:rPr lang="pl-PL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Nocleg rachunek - poniżej limitu lub Nocleg rachunek powyżej limitu </a:t>
          </a: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lang="pl-PL" sz="900">
            <a:effectLst/>
          </a:endParaRPr>
        </a:p>
        <a:p>
          <a:pPr algn="l"/>
          <a:endParaRPr lang="pl-PL" sz="1100"/>
        </a:p>
      </xdr:txBody>
    </xdr:sp>
    <xdr:clientData/>
  </xdr:twoCellAnchor>
  <xdr:twoCellAnchor>
    <xdr:from>
      <xdr:col>0</xdr:col>
      <xdr:colOff>19049</xdr:colOff>
      <xdr:row>24</xdr:row>
      <xdr:rowOff>0</xdr:rowOff>
    </xdr:from>
    <xdr:to>
      <xdr:col>0</xdr:col>
      <xdr:colOff>2590800</xdr:colOff>
      <xdr:row>25</xdr:row>
      <xdr:rowOff>161925</xdr:rowOff>
    </xdr:to>
    <xdr:sp macro="" textlink="">
      <xdr:nvSpPr>
        <xdr:cNvPr id="22" name="Objaśnienie prostokątn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19049" y="5676900"/>
          <a:ext cx="2571751" cy="390525"/>
        </a:xfrm>
        <a:prstGeom prst="wedgeRectCallout">
          <a:avLst>
            <a:gd name="adj1" fmla="val 56025"/>
            <a:gd name="adj2" fmla="val -5598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Nocleg Ryczałt</a:t>
          </a: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powinny się</a:t>
          </a:r>
          <a:r>
            <a:rPr lang="pl-PL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wyliczyć jest to 25% limitu stawki za nocleg razy ilość dni.</a:t>
          </a:r>
          <a:endParaRPr lang="pl-PL" sz="900">
            <a:effectLst/>
          </a:endParaRPr>
        </a:p>
        <a:p>
          <a:pPr algn="l"/>
          <a:endParaRPr lang="pl-PL" sz="1100"/>
        </a:p>
      </xdr:txBody>
    </xdr:sp>
    <xdr:clientData/>
  </xdr:twoCellAnchor>
  <xdr:twoCellAnchor>
    <xdr:from>
      <xdr:col>0</xdr:col>
      <xdr:colOff>19049</xdr:colOff>
      <xdr:row>26</xdr:row>
      <xdr:rowOff>1</xdr:rowOff>
    </xdr:from>
    <xdr:to>
      <xdr:col>0</xdr:col>
      <xdr:colOff>2562225</xdr:colOff>
      <xdr:row>27</xdr:row>
      <xdr:rowOff>152401</xdr:rowOff>
    </xdr:to>
    <xdr:sp macro="" textlink="">
      <xdr:nvSpPr>
        <xdr:cNvPr id="24" name="Objaśnienie prostokątn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19049" y="6134101"/>
          <a:ext cx="2543176" cy="381000"/>
        </a:xfrm>
        <a:prstGeom prst="wedgeRectCallout">
          <a:avLst>
            <a:gd name="adj1" fmla="val 57693"/>
            <a:gd name="adj2" fmla="val 36601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Dieta dojazdowa</a:t>
          </a: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tylko w przypadku delegacji zagranicznych = 1 dieta pobytowa</a:t>
          </a:r>
          <a:endParaRPr lang="pl-PL" sz="900">
            <a:effectLst/>
          </a:endParaRPr>
        </a:p>
        <a:p>
          <a:pPr algn="l"/>
          <a:endParaRPr lang="pl-PL" sz="1100"/>
        </a:p>
      </xdr:txBody>
    </xdr:sp>
    <xdr:clientData/>
  </xdr:twoCellAnchor>
  <xdr:twoCellAnchor>
    <xdr:from>
      <xdr:col>0</xdr:col>
      <xdr:colOff>9525</xdr:colOff>
      <xdr:row>27</xdr:row>
      <xdr:rowOff>228599</xdr:rowOff>
    </xdr:from>
    <xdr:to>
      <xdr:col>0</xdr:col>
      <xdr:colOff>2552701</xdr:colOff>
      <xdr:row>30</xdr:row>
      <xdr:rowOff>66675</xdr:rowOff>
    </xdr:to>
    <xdr:sp macro="" textlink="">
      <xdr:nvSpPr>
        <xdr:cNvPr id="27" name="Objaśnienie prostokątn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9525" y="6591299"/>
          <a:ext cx="2543176" cy="523876"/>
        </a:xfrm>
        <a:prstGeom prst="wedgeRectCallout">
          <a:avLst>
            <a:gd name="adj1" fmla="val 59940"/>
            <a:gd name="adj2" fmla="val -15941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Ryczałt</a:t>
          </a:r>
          <a:r>
            <a:rPr lang="pl-PL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kosztów dojazdu powinien się wyliczyć po wpisaniu ilości dla delegacji krajowych 20 % diety dla zagranicznych 10% diety</a:t>
          </a:r>
          <a:endParaRPr lang="pl-PL" sz="900">
            <a:effectLst/>
          </a:endParaRPr>
        </a:p>
        <a:p>
          <a:pPr algn="l"/>
          <a:endParaRPr lang="pl-PL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</xdr:colOff>
          <xdr:row>3</xdr:row>
          <xdr:rowOff>19050</xdr:rowOff>
        </xdr:from>
        <xdr:to>
          <xdr:col>7</xdr:col>
          <xdr:colOff>447675</xdr:colOff>
          <xdr:row>3</xdr:row>
          <xdr:rowOff>200025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3</xdr:row>
          <xdr:rowOff>9525</xdr:rowOff>
        </xdr:from>
        <xdr:to>
          <xdr:col>10</xdr:col>
          <xdr:colOff>523875</xdr:colOff>
          <xdr:row>3</xdr:row>
          <xdr:rowOff>209550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104775</xdr:colOff>
      <xdr:row>8</xdr:row>
      <xdr:rowOff>0</xdr:rowOff>
    </xdr:from>
    <xdr:to>
      <xdr:col>5</xdr:col>
      <xdr:colOff>219075</xdr:colOff>
      <xdr:row>9</xdr:row>
      <xdr:rowOff>180975</xdr:rowOff>
    </xdr:to>
    <xdr:sp macro="" textlink="">
      <xdr:nvSpPr>
        <xdr:cNvPr id="23" name="Objaśnienie liniowe 3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2838450" y="1733550"/>
          <a:ext cx="1571625" cy="409575"/>
        </a:xfrm>
        <a:prstGeom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180591"/>
            <a:gd name="adj8" fmla="val 1744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miejsce przekroczenia granicy - </a:t>
          </a:r>
          <a:r>
            <a:rPr lang="pl-PL" sz="9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ostatnie lotnisko w kraju </a:t>
          </a:r>
          <a:endParaRPr lang="pl-PL" sz="900"/>
        </a:p>
      </xdr:txBody>
    </xdr:sp>
    <xdr:clientData/>
  </xdr:twoCellAnchor>
  <xdr:twoCellAnchor>
    <xdr:from>
      <xdr:col>1</xdr:col>
      <xdr:colOff>838200</xdr:colOff>
      <xdr:row>8</xdr:row>
      <xdr:rowOff>19050</xdr:rowOff>
    </xdr:from>
    <xdr:to>
      <xdr:col>3</xdr:col>
      <xdr:colOff>285750</xdr:colOff>
      <xdr:row>9</xdr:row>
      <xdr:rowOff>200025</xdr:rowOff>
    </xdr:to>
    <xdr:sp macro="" textlink="">
      <xdr:nvSpPr>
        <xdr:cNvPr id="26" name="Objaśnienie liniowe 3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3571875" y="1752600"/>
          <a:ext cx="904875" cy="409575"/>
        </a:xfrm>
        <a:prstGeom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180591"/>
            <a:gd name="adj8" fmla="val 1744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900"/>
            <a:t>miejsce przekroczenia granicy - </a:t>
          </a:r>
          <a:r>
            <a:rPr lang="pl-PL" sz="9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ostatnie lotnisko w kraju </a:t>
          </a:r>
          <a:endParaRPr lang="pl-PL" sz="9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2</xdr:row>
          <xdr:rowOff>38100</xdr:rowOff>
        </xdr:from>
        <xdr:to>
          <xdr:col>7</xdr:col>
          <xdr:colOff>466725</xdr:colOff>
          <xdr:row>2</xdr:row>
          <xdr:rowOff>323850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2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0CECE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619125</xdr:colOff>
          <xdr:row>2</xdr:row>
          <xdr:rowOff>47625</xdr:rowOff>
        </xdr:from>
        <xdr:to>
          <xdr:col>10</xdr:col>
          <xdr:colOff>533400</xdr:colOff>
          <xdr:row>2</xdr:row>
          <xdr:rowOff>342900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2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0CECE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3:XFD48"/>
  <sheetViews>
    <sheetView workbookViewId="0">
      <selection activeCell="U11" sqref="U11"/>
    </sheetView>
  </sheetViews>
  <sheetFormatPr defaultRowHeight="12.75" x14ac:dyDescent="0.2"/>
  <cols>
    <col min="1" max="1" width="47.83203125" style="1" customWidth="1"/>
    <col min="2" max="2" width="17.6640625" style="1" customWidth="1"/>
    <col min="3" max="3" width="7.83203125" style="1" customWidth="1"/>
    <col min="4" max="4" width="6" style="1" customWidth="1"/>
    <col min="5" max="5" width="7" style="1" customWidth="1"/>
    <col min="6" max="6" width="8.5" style="1" customWidth="1"/>
    <col min="7" max="7" width="11.5" style="1" customWidth="1"/>
    <col min="8" max="8" width="8.6640625" style="1" customWidth="1"/>
    <col min="9" max="9" width="10.1640625" style="1" customWidth="1"/>
    <col min="10" max="10" width="11.1640625" style="1" customWidth="1"/>
    <col min="11" max="11" width="10.6640625" style="1" customWidth="1"/>
    <col min="12" max="12" width="8.1640625" style="1" customWidth="1"/>
    <col min="13" max="13" width="5.83203125" style="1" customWidth="1"/>
    <col min="14" max="14" width="9.6640625" style="1" customWidth="1"/>
    <col min="15" max="15" width="18.83203125" style="1" customWidth="1"/>
    <col min="16" max="16" width="6" style="1" customWidth="1"/>
    <col min="17" max="17" width="20.6640625" style="1" customWidth="1"/>
    <col min="18" max="18" width="9.33203125" style="1"/>
    <col min="19" max="19" width="12.5" style="1" customWidth="1"/>
    <col min="20" max="28" width="9.33203125" style="1"/>
    <col min="29" max="29" width="11.1640625" style="1" customWidth="1"/>
    <col min="30" max="16384" width="9.33203125" style="1"/>
  </cols>
  <sheetData>
    <row r="3" spans="2:18" ht="13.5" thickBot="1" x14ac:dyDescent="0.25"/>
    <row r="4" spans="2:18" ht="18" customHeight="1" thickTop="1" thickBot="1" x14ac:dyDescent="0.25">
      <c r="B4" s="145" t="s">
        <v>0</v>
      </c>
      <c r="C4" s="146"/>
      <c r="D4" s="146"/>
      <c r="E4" s="146"/>
      <c r="F4" s="151" t="s">
        <v>1</v>
      </c>
      <c r="G4" s="152"/>
      <c r="H4" s="81" t="b">
        <v>0</v>
      </c>
      <c r="I4" s="151" t="s">
        <v>1</v>
      </c>
      <c r="J4" s="152"/>
      <c r="K4" s="81" t="b">
        <v>0</v>
      </c>
      <c r="L4" s="145" t="s">
        <v>2</v>
      </c>
      <c r="M4" s="146"/>
      <c r="N4" s="146"/>
      <c r="O4" s="147"/>
    </row>
    <row r="5" spans="2:18" ht="25.5" customHeight="1" thickTop="1" thickBot="1" x14ac:dyDescent="0.25">
      <c r="B5" s="2" t="s">
        <v>3</v>
      </c>
      <c r="C5" s="80"/>
      <c r="D5" s="80" t="s">
        <v>4</v>
      </c>
      <c r="E5" s="150" t="s">
        <v>4</v>
      </c>
      <c r="F5" s="149"/>
      <c r="G5" s="79" t="s">
        <v>5</v>
      </c>
      <c r="H5" s="148" t="s">
        <v>229</v>
      </c>
      <c r="I5" s="149"/>
      <c r="J5" s="148" t="s">
        <v>6</v>
      </c>
      <c r="K5" s="149"/>
      <c r="L5" s="148" t="s">
        <v>7</v>
      </c>
      <c r="M5" s="150"/>
      <c r="N5" s="80" t="s">
        <v>8</v>
      </c>
      <c r="O5" s="3" t="s">
        <v>9</v>
      </c>
      <c r="R5" s="4"/>
    </row>
    <row r="6" spans="2:18" ht="18" customHeight="1" thickTop="1" thickBot="1" x14ac:dyDescent="0.25">
      <c r="B6" s="5" t="s">
        <v>177</v>
      </c>
      <c r="C6" s="82"/>
      <c r="D6" s="82">
        <v>45748</v>
      </c>
      <c r="E6" s="141">
        <v>45748</v>
      </c>
      <c r="F6" s="142"/>
      <c r="G6" s="91">
        <v>0.25</v>
      </c>
      <c r="H6" s="139"/>
      <c r="I6" s="140"/>
      <c r="J6" s="139" t="s">
        <v>178</v>
      </c>
      <c r="K6" s="140"/>
      <c r="L6" s="141">
        <v>45748</v>
      </c>
      <c r="M6" s="142"/>
      <c r="N6" s="87">
        <v>0.45833333333333331</v>
      </c>
      <c r="O6" s="5" t="s">
        <v>181</v>
      </c>
      <c r="P6" s="6"/>
      <c r="R6" s="4"/>
    </row>
    <row r="7" spans="2:18" ht="18" customHeight="1" thickTop="1" thickBot="1" x14ac:dyDescent="0.25">
      <c r="B7" s="39" t="s">
        <v>178</v>
      </c>
      <c r="C7" s="96"/>
      <c r="D7" s="96">
        <v>45748</v>
      </c>
      <c r="E7" s="143">
        <v>45748</v>
      </c>
      <c r="F7" s="144"/>
      <c r="G7" s="92">
        <v>0.45833333333333331</v>
      </c>
      <c r="H7" s="139"/>
      <c r="I7" s="140"/>
      <c r="J7" s="139" t="s">
        <v>179</v>
      </c>
      <c r="K7" s="140"/>
      <c r="L7" s="141">
        <v>45748</v>
      </c>
      <c r="M7" s="142"/>
      <c r="N7" s="87">
        <v>0.54166666666666663</v>
      </c>
      <c r="O7" s="5" t="s">
        <v>181</v>
      </c>
    </row>
    <row r="8" spans="2:18" ht="18" customHeight="1" thickTop="1" thickBot="1" x14ac:dyDescent="0.25">
      <c r="B8" s="5"/>
      <c r="C8" s="83"/>
      <c r="D8" s="83"/>
      <c r="E8" s="139"/>
      <c r="F8" s="140"/>
      <c r="G8" s="83"/>
      <c r="H8" s="139"/>
      <c r="I8" s="140"/>
      <c r="J8" s="139"/>
      <c r="K8" s="140"/>
      <c r="L8" s="139"/>
      <c r="M8" s="153"/>
      <c r="N8" s="87"/>
      <c r="O8" s="5"/>
    </row>
    <row r="9" spans="2:18" ht="18" customHeight="1" thickTop="1" thickBot="1" x14ac:dyDescent="0.25">
      <c r="B9" s="7"/>
      <c r="C9" s="88"/>
      <c r="D9" s="88"/>
      <c r="E9" s="139"/>
      <c r="F9" s="140"/>
      <c r="G9" s="88"/>
      <c r="H9" s="139"/>
      <c r="I9" s="140"/>
      <c r="J9" s="139"/>
      <c r="K9" s="140"/>
      <c r="L9" s="139"/>
      <c r="M9" s="140"/>
      <c r="N9" s="88"/>
      <c r="O9" s="5"/>
      <c r="P9" s="6"/>
    </row>
    <row r="10" spans="2:18" ht="18" customHeight="1" thickTop="1" thickBot="1" x14ac:dyDescent="0.25">
      <c r="B10" s="5"/>
      <c r="C10" s="83"/>
      <c r="D10" s="83"/>
      <c r="E10" s="139"/>
      <c r="F10" s="140"/>
      <c r="G10" s="83"/>
      <c r="H10" s="139"/>
      <c r="I10" s="140"/>
      <c r="J10" s="139"/>
      <c r="K10" s="140"/>
      <c r="L10" s="139"/>
      <c r="M10" s="140"/>
      <c r="N10" s="83"/>
      <c r="O10" s="5"/>
    </row>
    <row r="11" spans="2:18" ht="18" customHeight="1" thickTop="1" thickBot="1" x14ac:dyDescent="0.25">
      <c r="B11" s="5" t="s">
        <v>177</v>
      </c>
      <c r="C11" s="82"/>
      <c r="D11" s="82">
        <v>45748</v>
      </c>
      <c r="E11" s="141">
        <v>45748</v>
      </c>
      <c r="F11" s="142"/>
      <c r="G11" s="91">
        <v>0.25</v>
      </c>
      <c r="H11" s="139"/>
      <c r="I11" s="140"/>
      <c r="J11" s="139" t="s">
        <v>184</v>
      </c>
      <c r="K11" s="140"/>
      <c r="L11" s="141">
        <v>45748</v>
      </c>
      <c r="M11" s="142"/>
      <c r="N11" s="87">
        <v>0.45833333333333331</v>
      </c>
      <c r="O11" s="5" t="s">
        <v>180</v>
      </c>
      <c r="Q11" s="8"/>
    </row>
    <row r="12" spans="2:18" ht="18" customHeight="1" thickTop="1" thickBot="1" x14ac:dyDescent="0.25">
      <c r="B12" s="38" t="s">
        <v>184</v>
      </c>
      <c r="C12" s="96"/>
      <c r="D12" s="96">
        <v>45748</v>
      </c>
      <c r="E12" s="143">
        <v>45748</v>
      </c>
      <c r="F12" s="144"/>
      <c r="G12" s="93">
        <v>0.45833333333333331</v>
      </c>
      <c r="H12" s="139"/>
      <c r="I12" s="140"/>
      <c r="J12" s="139" t="s">
        <v>179</v>
      </c>
      <c r="K12" s="140"/>
      <c r="L12" s="141">
        <v>45748</v>
      </c>
      <c r="M12" s="142"/>
      <c r="N12" s="87">
        <v>0.54166666666666663</v>
      </c>
      <c r="O12" s="5" t="s">
        <v>180</v>
      </c>
      <c r="Q12" s="8"/>
    </row>
    <row r="13" spans="2:18" ht="18" customHeight="1" thickTop="1" thickBot="1" x14ac:dyDescent="0.25">
      <c r="B13" s="9" t="s">
        <v>179</v>
      </c>
      <c r="C13" s="97"/>
      <c r="D13" s="97">
        <v>45757</v>
      </c>
      <c r="E13" s="141">
        <v>45757</v>
      </c>
      <c r="F13" s="142"/>
      <c r="G13" s="94">
        <v>0.625</v>
      </c>
      <c r="H13" s="154"/>
      <c r="I13" s="155"/>
      <c r="J13" s="156" t="s">
        <v>184</v>
      </c>
      <c r="K13" s="157"/>
      <c r="L13" s="143">
        <v>45757</v>
      </c>
      <c r="M13" s="144"/>
      <c r="N13" s="89">
        <v>0.79166666666666663</v>
      </c>
      <c r="O13" s="5" t="s">
        <v>180</v>
      </c>
      <c r="Q13" s="8"/>
    </row>
    <row r="14" spans="2:18" ht="18" customHeight="1" thickTop="1" thickBot="1" x14ac:dyDescent="0.25">
      <c r="B14" s="7" t="s">
        <v>184</v>
      </c>
      <c r="C14" s="84"/>
      <c r="D14" s="84">
        <v>45757</v>
      </c>
      <c r="E14" s="141">
        <v>45757</v>
      </c>
      <c r="F14" s="142"/>
      <c r="G14" s="90">
        <v>0.82638888888888884</v>
      </c>
      <c r="H14" s="139"/>
      <c r="I14" s="140"/>
      <c r="J14" s="139" t="s">
        <v>177</v>
      </c>
      <c r="K14" s="140"/>
      <c r="L14" s="141">
        <v>45757</v>
      </c>
      <c r="M14" s="142"/>
      <c r="N14" s="90">
        <v>0.9375</v>
      </c>
      <c r="O14" s="5" t="s">
        <v>180</v>
      </c>
      <c r="Q14" s="8"/>
    </row>
    <row r="15" spans="2:18" ht="18" customHeight="1" thickTop="1" thickBot="1" x14ac:dyDescent="0.25">
      <c r="B15" s="35"/>
      <c r="C15" s="82"/>
      <c r="D15" s="82"/>
      <c r="E15" s="141"/>
      <c r="F15" s="142"/>
      <c r="G15" s="95"/>
      <c r="H15" s="139"/>
      <c r="I15" s="140"/>
      <c r="J15" s="139"/>
      <c r="K15" s="140"/>
      <c r="L15" s="141"/>
      <c r="M15" s="142"/>
      <c r="N15" s="87"/>
      <c r="O15" s="5"/>
      <c r="Q15" s="8"/>
    </row>
    <row r="16" spans="2:18" ht="18" customHeight="1" thickTop="1" thickBot="1" x14ac:dyDescent="0.25">
      <c r="B16" s="9" t="s">
        <v>228</v>
      </c>
      <c r="C16" s="85"/>
      <c r="D16" s="85"/>
      <c r="E16" s="139"/>
      <c r="F16" s="140"/>
      <c r="G16" s="85"/>
      <c r="H16" s="139"/>
      <c r="I16" s="140"/>
      <c r="J16" s="139"/>
      <c r="K16" s="140"/>
      <c r="L16" s="139"/>
      <c r="M16" s="140"/>
      <c r="N16" s="85"/>
      <c r="O16" s="5"/>
      <c r="Q16" s="8"/>
    </row>
    <row r="17" spans="2:29 16384:16384" ht="16.5" thickTop="1" thickBot="1" x14ac:dyDescent="0.25">
      <c r="B17" s="158" t="s">
        <v>10</v>
      </c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60"/>
      <c r="Q17" s="10"/>
    </row>
    <row r="18" spans="2:29 16384:16384" ht="13.5" customHeight="1" thickTop="1" thickBot="1" x14ac:dyDescent="0.25">
      <c r="B18" s="172" t="s">
        <v>11</v>
      </c>
      <c r="C18" s="173"/>
      <c r="D18" s="173"/>
      <c r="E18" s="172" t="s">
        <v>12</v>
      </c>
      <c r="F18" s="173"/>
      <c r="G18" s="172" t="s">
        <v>13</v>
      </c>
      <c r="H18" s="173"/>
      <c r="I18" s="172" t="s">
        <v>14</v>
      </c>
      <c r="J18" s="174"/>
      <c r="K18" s="182" t="s">
        <v>15</v>
      </c>
      <c r="L18" s="183"/>
      <c r="M18" s="182" t="s">
        <v>15</v>
      </c>
      <c r="N18" s="183"/>
      <c r="O18" s="76" t="s">
        <v>15</v>
      </c>
      <c r="Q18" s="10"/>
    </row>
    <row r="19" spans="2:29 16384:16384" ht="18.600000000000001" customHeight="1" thickTop="1" thickBot="1" x14ac:dyDescent="0.25">
      <c r="B19" s="175" t="s">
        <v>16</v>
      </c>
      <c r="C19" s="176"/>
      <c r="D19" s="177"/>
      <c r="E19" s="33"/>
      <c r="F19" s="34"/>
      <c r="G19" s="178"/>
      <c r="H19" s="179"/>
      <c r="I19" s="180"/>
      <c r="J19" s="181"/>
      <c r="K19" s="36" t="s">
        <v>17</v>
      </c>
      <c r="L19" s="37"/>
      <c r="M19" s="77"/>
      <c r="N19" s="37"/>
      <c r="O19" s="78"/>
      <c r="Q19" s="10"/>
      <c r="S19" s="11"/>
      <c r="XFD19" s="1">
        <f>SUM(A19:XFC19)</f>
        <v>0</v>
      </c>
    </row>
    <row r="20" spans="2:29 16384:16384" ht="12.75" customHeight="1" thickTop="1" thickBot="1" x14ac:dyDescent="0.25">
      <c r="B20" s="12" t="s">
        <v>18</v>
      </c>
      <c r="C20" s="68">
        <v>4</v>
      </c>
      <c r="D20" s="13"/>
      <c r="E20" s="161"/>
      <c r="F20" s="162"/>
      <c r="G20" s="12" t="s">
        <v>19</v>
      </c>
      <c r="H20" s="69">
        <v>2</v>
      </c>
      <c r="I20" s="14"/>
      <c r="J20" s="15"/>
      <c r="K20" s="12" t="s">
        <v>20</v>
      </c>
      <c r="L20" s="70">
        <v>1</v>
      </c>
      <c r="M20" s="13"/>
      <c r="N20" s="16"/>
      <c r="O20" s="17"/>
      <c r="Q20" s="8"/>
    </row>
    <row r="21" spans="2:29 16384:16384" ht="18.600000000000001" customHeight="1" thickTop="1" thickBot="1" x14ac:dyDescent="0.25">
      <c r="B21" s="18" t="s">
        <v>21</v>
      </c>
      <c r="C21" s="19"/>
      <c r="D21" s="20"/>
      <c r="E21" s="51">
        <v>9.3333333333333339</v>
      </c>
      <c r="F21" s="21"/>
      <c r="G21" s="163"/>
      <c r="H21" s="164"/>
      <c r="I21" s="165" t="s">
        <v>17</v>
      </c>
      <c r="J21" s="166"/>
      <c r="K21" s="60">
        <f>G21*E21/1</f>
        <v>0</v>
      </c>
      <c r="L21" s="22"/>
      <c r="M21" s="167"/>
      <c r="N21" s="168"/>
      <c r="O21" s="23"/>
      <c r="P21" s="6"/>
      <c r="Q21" s="8"/>
    </row>
    <row r="22" spans="2:29 16384:16384" ht="13.5" customHeight="1" thickTop="1" thickBot="1" x14ac:dyDescent="0.25">
      <c r="B22" s="24" t="s">
        <v>18</v>
      </c>
      <c r="C22" s="25"/>
      <c r="D22" s="26"/>
      <c r="E22" s="27"/>
      <c r="F22" s="27"/>
      <c r="G22" s="169" t="s">
        <v>19</v>
      </c>
      <c r="H22" s="170"/>
      <c r="I22" s="170"/>
      <c r="J22" s="170"/>
      <c r="K22" s="169" t="s">
        <v>20</v>
      </c>
      <c r="L22" s="170"/>
      <c r="M22" s="170"/>
      <c r="N22" s="170"/>
      <c r="O22" s="171"/>
      <c r="P22" s="6"/>
    </row>
    <row r="23" spans="2:29 16384:16384" ht="18.600000000000001" customHeight="1" thickTop="1" thickBot="1" x14ac:dyDescent="0.25">
      <c r="B23" s="184" t="s">
        <v>213</v>
      </c>
      <c r="C23" s="185"/>
      <c r="D23" s="186"/>
      <c r="E23" s="165">
        <v>9</v>
      </c>
      <c r="F23" s="188"/>
      <c r="G23" s="165" t="s">
        <v>17</v>
      </c>
      <c r="H23" s="188"/>
      <c r="I23" s="196"/>
      <c r="J23" s="197"/>
      <c r="K23" s="198">
        <v>450</v>
      </c>
      <c r="L23" s="199"/>
      <c r="M23" s="200"/>
      <c r="N23" s="201"/>
      <c r="O23" s="28"/>
      <c r="AC23" s="52"/>
    </row>
    <row r="24" spans="2:29 16384:16384" ht="18.600000000000001" customHeight="1" thickTop="1" thickBot="1" x14ac:dyDescent="0.25">
      <c r="B24" s="184" t="s">
        <v>22</v>
      </c>
      <c r="C24" s="185"/>
      <c r="D24" s="186"/>
      <c r="E24" s="187">
        <v>9</v>
      </c>
      <c r="F24" s="188"/>
      <c r="G24" s="189" t="s">
        <v>17</v>
      </c>
      <c r="H24" s="188"/>
      <c r="I24" s="190"/>
      <c r="J24" s="191"/>
      <c r="K24" s="192">
        <f>Dane!I93*2</f>
        <v>85</v>
      </c>
      <c r="L24" s="193"/>
      <c r="M24" s="194"/>
      <c r="N24" s="195"/>
      <c r="O24" s="29"/>
    </row>
    <row r="25" spans="2:29 16384:16384" ht="18.600000000000001" customHeight="1" thickTop="1" thickBot="1" x14ac:dyDescent="0.25">
      <c r="B25" s="202" t="s">
        <v>23</v>
      </c>
      <c r="C25" s="203"/>
      <c r="D25" s="204"/>
      <c r="E25" s="205"/>
      <c r="F25" s="206"/>
      <c r="G25" s="209" t="s">
        <v>17</v>
      </c>
      <c r="H25" s="188"/>
      <c r="I25" s="205"/>
      <c r="J25" s="206"/>
      <c r="K25" s="210"/>
      <c r="L25" s="210"/>
      <c r="M25" s="167"/>
      <c r="N25" s="168"/>
      <c r="O25" s="30"/>
    </row>
    <row r="26" spans="2:29 16384:16384" ht="18.600000000000001" customHeight="1" thickTop="1" thickBot="1" x14ac:dyDescent="0.25">
      <c r="B26" s="202" t="s">
        <v>24</v>
      </c>
      <c r="C26" s="203"/>
      <c r="D26" s="204"/>
      <c r="E26" s="165" t="s">
        <v>17</v>
      </c>
      <c r="F26" s="188"/>
      <c r="G26" s="165" t="s">
        <v>17</v>
      </c>
      <c r="H26" s="188"/>
      <c r="I26" s="205"/>
      <c r="J26" s="206"/>
      <c r="K26" s="207"/>
      <c r="L26" s="208"/>
      <c r="M26" s="167"/>
      <c r="N26" s="168"/>
      <c r="O26" s="31"/>
    </row>
    <row r="27" spans="2:29 16384:16384" ht="18.600000000000001" customHeight="1" thickTop="1" thickBot="1" x14ac:dyDescent="0.25">
      <c r="B27" s="213" t="s">
        <v>25</v>
      </c>
      <c r="C27" s="214"/>
      <c r="D27" s="215"/>
      <c r="E27" s="216"/>
      <c r="F27" s="217"/>
      <c r="G27" s="218" t="s">
        <v>17</v>
      </c>
      <c r="H27" s="219"/>
      <c r="I27" s="220"/>
      <c r="J27" s="217"/>
      <c r="K27" s="207"/>
      <c r="L27" s="208"/>
      <c r="M27" s="221"/>
      <c r="N27" s="222"/>
      <c r="O27" s="32"/>
    </row>
    <row r="28" spans="2:29 16384:16384" ht="18.600000000000001" customHeight="1" thickTop="1" thickBot="1" x14ac:dyDescent="0.25">
      <c r="B28" s="184" t="s">
        <v>26</v>
      </c>
      <c r="C28" s="185"/>
      <c r="D28" s="186"/>
      <c r="E28" s="187">
        <v>1</v>
      </c>
      <c r="F28" s="188"/>
      <c r="G28" s="205"/>
      <c r="H28" s="206"/>
      <c r="I28" s="205"/>
      <c r="J28" s="206"/>
      <c r="K28" s="207"/>
      <c r="L28" s="208"/>
      <c r="M28" s="211"/>
      <c r="N28" s="212"/>
      <c r="O28" s="30"/>
    </row>
    <row r="29" spans="2:29 16384:16384" ht="18.600000000000001" customHeight="1" thickTop="1" thickBot="1" x14ac:dyDescent="0.25">
      <c r="B29" s="202" t="s">
        <v>27</v>
      </c>
      <c r="C29" s="203"/>
      <c r="D29" s="204"/>
      <c r="E29" s="187">
        <v>10</v>
      </c>
      <c r="F29" s="188"/>
      <c r="G29" s="220"/>
      <c r="H29" s="217"/>
      <c r="I29" s="205"/>
      <c r="J29" s="206"/>
      <c r="K29" s="187"/>
      <c r="L29" s="224"/>
      <c r="M29" s="221"/>
      <c r="N29" s="222"/>
      <c r="O29" s="31"/>
    </row>
    <row r="30" spans="2:29 16384:16384" ht="18.600000000000001" customHeight="1" thickTop="1" thickBot="1" x14ac:dyDescent="0.25">
      <c r="B30" s="213" t="s">
        <v>182</v>
      </c>
      <c r="C30" s="214"/>
      <c r="D30" s="215"/>
      <c r="E30" s="165" t="s">
        <v>17</v>
      </c>
      <c r="F30" s="188"/>
      <c r="G30" s="165" t="s">
        <v>17</v>
      </c>
      <c r="H30" s="188"/>
      <c r="I30" s="223" t="s">
        <v>17</v>
      </c>
      <c r="J30" s="164"/>
      <c r="K30" s="187"/>
      <c r="L30" s="224"/>
      <c r="M30" s="225" t="s">
        <v>17</v>
      </c>
      <c r="N30" s="222"/>
      <c r="O30" s="32"/>
    </row>
    <row r="31" spans="2:29 16384:16384" ht="18.600000000000001" customHeight="1" thickTop="1" thickBot="1" x14ac:dyDescent="0.25">
      <c r="B31" s="184" t="s">
        <v>183</v>
      </c>
      <c r="C31" s="185"/>
      <c r="D31" s="186"/>
      <c r="E31" s="205"/>
      <c r="F31" s="206"/>
      <c r="G31" s="165" t="s">
        <v>17</v>
      </c>
      <c r="H31" s="188"/>
      <c r="I31" s="205"/>
      <c r="J31" s="206"/>
      <c r="K31" s="187"/>
      <c r="L31" s="224"/>
      <c r="M31" s="211"/>
      <c r="N31" s="212"/>
      <c r="O31" s="31"/>
    </row>
    <row r="32" spans="2:29 16384:16384" ht="18.600000000000001" customHeight="1" thickTop="1" thickBot="1" x14ac:dyDescent="0.25">
      <c r="B32" s="226" t="s">
        <v>28</v>
      </c>
      <c r="C32" s="227"/>
      <c r="D32" s="228"/>
      <c r="E32" s="210"/>
      <c r="F32" s="210"/>
      <c r="G32" s="187"/>
      <c r="H32" s="166"/>
      <c r="I32" s="187"/>
      <c r="J32" s="188"/>
      <c r="K32" s="210"/>
      <c r="L32" s="210"/>
      <c r="M32" s="221"/>
      <c r="N32" s="229"/>
      <c r="O32" s="31"/>
      <c r="P32" s="6"/>
    </row>
    <row r="33" spans="2:15" ht="55.5" customHeight="1" thickTop="1" thickBot="1" x14ac:dyDescent="0.25">
      <c r="B33" s="175" t="s">
        <v>29</v>
      </c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249"/>
    </row>
    <row r="34" spans="2:15" ht="16.5" thickTop="1" thickBot="1" x14ac:dyDescent="0.25">
      <c r="B34" s="250" t="s">
        <v>30</v>
      </c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2"/>
    </row>
    <row r="35" spans="2:15" ht="14.25" thickTop="1" thickBot="1" x14ac:dyDescent="0.25">
      <c r="B35" s="175" t="s">
        <v>31</v>
      </c>
      <c r="C35" s="176"/>
      <c r="D35" s="249"/>
      <c r="E35" s="242" t="s">
        <v>32</v>
      </c>
      <c r="F35" s="242"/>
      <c r="G35" s="242"/>
      <c r="H35" s="177"/>
      <c r="I35" s="253" t="s">
        <v>33</v>
      </c>
      <c r="J35" s="253"/>
      <c r="K35" s="253"/>
      <c r="L35" s="253"/>
      <c r="M35" s="253"/>
      <c r="N35" s="175" t="s">
        <v>34</v>
      </c>
      <c r="O35" s="249"/>
    </row>
    <row r="36" spans="2:15" ht="27.95" customHeight="1" thickTop="1" thickBot="1" x14ac:dyDescent="0.25">
      <c r="B36" s="230"/>
      <c r="C36" s="231"/>
      <c r="D36" s="232"/>
      <c r="E36" s="233"/>
      <c r="F36" s="234"/>
      <c r="G36" s="234"/>
      <c r="H36" s="235"/>
      <c r="I36" s="236"/>
      <c r="J36" s="237"/>
      <c r="K36" s="237"/>
      <c r="L36" s="237"/>
      <c r="M36" s="238"/>
      <c r="N36" s="239"/>
      <c r="O36" s="240"/>
    </row>
    <row r="37" spans="2:15" ht="14.25" thickTop="1" thickBot="1" x14ac:dyDescent="0.25">
      <c r="B37" s="241" t="s">
        <v>35</v>
      </c>
      <c r="C37" s="242"/>
      <c r="D37" s="177"/>
      <c r="E37" s="243" t="s">
        <v>36</v>
      </c>
      <c r="F37" s="244"/>
      <c r="G37" s="244"/>
      <c r="H37" s="245"/>
      <c r="I37" s="246" t="s">
        <v>33</v>
      </c>
      <c r="J37" s="247"/>
      <c r="K37" s="247"/>
      <c r="L37" s="247"/>
      <c r="M37" s="248"/>
      <c r="N37" s="241" t="s">
        <v>34</v>
      </c>
      <c r="O37" s="177"/>
    </row>
    <row r="38" spans="2:15" ht="27.95" customHeight="1" thickTop="1" thickBot="1" x14ac:dyDescent="0.25">
      <c r="B38" s="230"/>
      <c r="C38" s="231"/>
      <c r="D38" s="232"/>
      <c r="E38" s="263"/>
      <c r="F38" s="263"/>
      <c r="G38" s="263"/>
      <c r="H38" s="264"/>
      <c r="I38" s="236"/>
      <c r="J38" s="237"/>
      <c r="K38" s="237"/>
      <c r="L38" s="237"/>
      <c r="M38" s="237"/>
      <c r="N38" s="236"/>
      <c r="O38" s="238"/>
    </row>
    <row r="39" spans="2:15" ht="13.5" customHeight="1" thickTop="1" thickBot="1" x14ac:dyDescent="0.25">
      <c r="B39" s="241" t="s">
        <v>37</v>
      </c>
      <c r="C39" s="242"/>
      <c r="D39" s="177"/>
      <c r="E39" s="265" t="s">
        <v>36</v>
      </c>
      <c r="F39" s="266"/>
      <c r="G39" s="266"/>
      <c r="H39" s="267"/>
      <c r="I39" s="268" t="s">
        <v>38</v>
      </c>
      <c r="J39" s="269"/>
      <c r="K39" s="269"/>
      <c r="L39" s="269"/>
      <c r="M39" s="269"/>
      <c r="N39" s="269"/>
      <c r="O39" s="270"/>
    </row>
    <row r="40" spans="2:15" ht="27.95" customHeight="1" thickTop="1" thickBot="1" x14ac:dyDescent="0.25">
      <c r="B40" s="230"/>
      <c r="C40" s="231"/>
      <c r="D40" s="232"/>
      <c r="E40" s="274"/>
      <c r="F40" s="274"/>
      <c r="G40" s="274"/>
      <c r="H40" s="275"/>
      <c r="I40" s="271"/>
      <c r="J40" s="272"/>
      <c r="K40" s="272"/>
      <c r="L40" s="272"/>
      <c r="M40" s="272"/>
      <c r="N40" s="272"/>
      <c r="O40" s="273"/>
    </row>
    <row r="41" spans="2:15" ht="12.75" customHeight="1" thickTop="1" thickBot="1" x14ac:dyDescent="0.25">
      <c r="B41" s="175" t="s">
        <v>39</v>
      </c>
      <c r="C41" s="176"/>
      <c r="D41" s="249"/>
      <c r="E41" s="243" t="s">
        <v>40</v>
      </c>
      <c r="F41" s="244"/>
      <c r="G41" s="244"/>
      <c r="H41" s="245"/>
      <c r="I41" s="254" t="s">
        <v>41</v>
      </c>
      <c r="J41" s="255"/>
      <c r="K41" s="255"/>
      <c r="L41" s="255"/>
      <c r="M41" s="256"/>
      <c r="N41" s="202" t="s">
        <v>42</v>
      </c>
      <c r="O41" s="249"/>
    </row>
    <row r="42" spans="2:15" ht="27.95" customHeight="1" thickTop="1" thickBot="1" x14ac:dyDescent="0.25">
      <c r="B42" s="257"/>
      <c r="C42" s="258"/>
      <c r="D42" s="259"/>
      <c r="E42" s="260"/>
      <c r="F42" s="261"/>
      <c r="G42" s="261"/>
      <c r="H42" s="262"/>
      <c r="I42" s="263"/>
      <c r="J42" s="263"/>
      <c r="K42" s="263"/>
      <c r="L42" s="263"/>
      <c r="M42" s="263"/>
      <c r="N42" s="260"/>
      <c r="O42" s="262"/>
    </row>
    <row r="43" spans="2:15" ht="48.75" customHeight="1" thickTop="1" thickBot="1" x14ac:dyDescent="0.25">
      <c r="B43" s="277" t="s">
        <v>43</v>
      </c>
      <c r="C43" s="278"/>
      <c r="D43" s="278"/>
      <c r="E43" s="278"/>
      <c r="F43" s="278"/>
      <c r="G43" s="278"/>
      <c r="H43" s="279"/>
      <c r="I43" s="280" t="s">
        <v>44</v>
      </c>
      <c r="J43" s="266"/>
      <c r="K43" s="266"/>
      <c r="L43" s="266"/>
      <c r="M43" s="266"/>
      <c r="N43" s="266"/>
      <c r="O43" s="267"/>
    </row>
    <row r="44" spans="2:15" ht="14.25" thickTop="1" thickBot="1" x14ac:dyDescent="0.25">
      <c r="B44" s="281" t="s">
        <v>45</v>
      </c>
      <c r="C44" s="282"/>
      <c r="D44" s="282"/>
      <c r="E44" s="282"/>
      <c r="F44" s="282"/>
      <c r="G44" s="282"/>
      <c r="H44" s="282"/>
      <c r="I44" s="283" t="s">
        <v>46</v>
      </c>
      <c r="J44" s="284"/>
      <c r="K44" s="284"/>
      <c r="L44" s="284"/>
      <c r="M44" s="284"/>
      <c r="N44" s="284"/>
      <c r="O44" s="285"/>
    </row>
    <row r="45" spans="2:15" ht="41.25" customHeight="1" thickTop="1" thickBot="1" x14ac:dyDescent="0.25">
      <c r="B45" s="175" t="s">
        <v>47</v>
      </c>
      <c r="C45" s="176"/>
      <c r="D45" s="175" t="s">
        <v>48</v>
      </c>
      <c r="E45" s="176"/>
      <c r="F45" s="176"/>
      <c r="G45" s="176"/>
      <c r="H45" s="176"/>
      <c r="I45" s="175" t="s">
        <v>49</v>
      </c>
      <c r="J45" s="176"/>
      <c r="K45" s="176"/>
      <c r="L45" s="176"/>
      <c r="M45" s="175" t="s">
        <v>50</v>
      </c>
      <c r="N45" s="176"/>
      <c r="O45" s="249"/>
    </row>
    <row r="46" spans="2:15" ht="10.5" customHeight="1" thickTop="1" x14ac:dyDescent="0.2"/>
    <row r="47" spans="2:15" ht="14.25" customHeight="1" x14ac:dyDescent="0.2">
      <c r="B47" s="276" t="s">
        <v>51</v>
      </c>
      <c r="C47" s="276"/>
      <c r="D47" s="276"/>
      <c r="E47" s="276"/>
      <c r="F47" s="276"/>
      <c r="G47" s="276"/>
      <c r="H47" s="276"/>
      <c r="I47" s="276"/>
      <c r="J47" s="276"/>
      <c r="K47" s="276"/>
      <c r="L47" s="276"/>
      <c r="M47" s="276"/>
      <c r="N47" s="276"/>
      <c r="O47" s="276"/>
    </row>
    <row r="48" spans="2:15" ht="6.75" customHeight="1" x14ac:dyDescent="0.2">
      <c r="B48" s="276"/>
      <c r="C48" s="276"/>
      <c r="D48" s="276"/>
      <c r="E48" s="276"/>
      <c r="F48" s="276"/>
      <c r="G48" s="276"/>
      <c r="H48" s="276"/>
      <c r="I48" s="276"/>
      <c r="J48" s="276"/>
      <c r="K48" s="276"/>
      <c r="L48" s="276"/>
      <c r="M48" s="276"/>
      <c r="N48" s="276"/>
      <c r="O48" s="276"/>
    </row>
  </sheetData>
  <mergeCells count="168">
    <mergeCell ref="B47:O48"/>
    <mergeCell ref="B43:H43"/>
    <mergeCell ref="I43:O43"/>
    <mergeCell ref="B44:H44"/>
    <mergeCell ref="I44:O44"/>
    <mergeCell ref="B45:C45"/>
    <mergeCell ref="D45:H45"/>
    <mergeCell ref="I45:L45"/>
    <mergeCell ref="M45:O45"/>
    <mergeCell ref="B41:D41"/>
    <mergeCell ref="E41:H41"/>
    <mergeCell ref="I41:M41"/>
    <mergeCell ref="N41:O41"/>
    <mergeCell ref="B42:D42"/>
    <mergeCell ref="E42:H42"/>
    <mergeCell ref="I42:M42"/>
    <mergeCell ref="N42:O42"/>
    <mergeCell ref="B38:D38"/>
    <mergeCell ref="E38:H38"/>
    <mergeCell ref="I38:M38"/>
    <mergeCell ref="N38:O38"/>
    <mergeCell ref="B39:D39"/>
    <mergeCell ref="E39:H39"/>
    <mergeCell ref="I39:O40"/>
    <mergeCell ref="B40:D40"/>
    <mergeCell ref="E40:H40"/>
    <mergeCell ref="B36:D36"/>
    <mergeCell ref="E36:H36"/>
    <mergeCell ref="I36:M36"/>
    <mergeCell ref="N36:O36"/>
    <mergeCell ref="B37:D37"/>
    <mergeCell ref="E37:H37"/>
    <mergeCell ref="I37:M37"/>
    <mergeCell ref="N37:O37"/>
    <mergeCell ref="B33:O33"/>
    <mergeCell ref="B34:O34"/>
    <mergeCell ref="B35:D35"/>
    <mergeCell ref="E35:H35"/>
    <mergeCell ref="I35:M35"/>
    <mergeCell ref="N35:O35"/>
    <mergeCell ref="B32:D32"/>
    <mergeCell ref="E32:F32"/>
    <mergeCell ref="G32:H32"/>
    <mergeCell ref="I32:J32"/>
    <mergeCell ref="K32:L32"/>
    <mergeCell ref="M32:N32"/>
    <mergeCell ref="B31:D31"/>
    <mergeCell ref="E31:F31"/>
    <mergeCell ref="G31:H31"/>
    <mergeCell ref="I31:J31"/>
    <mergeCell ref="K31:L31"/>
    <mergeCell ref="M31:N31"/>
    <mergeCell ref="B30:D30"/>
    <mergeCell ref="E30:F30"/>
    <mergeCell ref="G30:H30"/>
    <mergeCell ref="I30:J30"/>
    <mergeCell ref="K30:L30"/>
    <mergeCell ref="M30:N30"/>
    <mergeCell ref="B29:D29"/>
    <mergeCell ref="E29:F29"/>
    <mergeCell ref="G29:H29"/>
    <mergeCell ref="I29:J29"/>
    <mergeCell ref="K29:L29"/>
    <mergeCell ref="M29:N29"/>
    <mergeCell ref="B28:D28"/>
    <mergeCell ref="E28:F28"/>
    <mergeCell ref="G28:H28"/>
    <mergeCell ref="I28:J28"/>
    <mergeCell ref="K28:L28"/>
    <mergeCell ref="M28:N28"/>
    <mergeCell ref="B27:D27"/>
    <mergeCell ref="E27:F27"/>
    <mergeCell ref="G27:H27"/>
    <mergeCell ref="I27:J27"/>
    <mergeCell ref="K27:L27"/>
    <mergeCell ref="M27:N27"/>
    <mergeCell ref="B26:D26"/>
    <mergeCell ref="E26:F26"/>
    <mergeCell ref="G26:H26"/>
    <mergeCell ref="I26:J26"/>
    <mergeCell ref="K26:L26"/>
    <mergeCell ref="M26:N26"/>
    <mergeCell ref="B25:D25"/>
    <mergeCell ref="E25:F25"/>
    <mergeCell ref="G25:H25"/>
    <mergeCell ref="I25:J25"/>
    <mergeCell ref="K25:L25"/>
    <mergeCell ref="M25:N25"/>
    <mergeCell ref="B24:D24"/>
    <mergeCell ref="E24:F24"/>
    <mergeCell ref="G24:H24"/>
    <mergeCell ref="I24:J24"/>
    <mergeCell ref="K24:L24"/>
    <mergeCell ref="M24:N24"/>
    <mergeCell ref="B23:D23"/>
    <mergeCell ref="E23:F23"/>
    <mergeCell ref="G23:H23"/>
    <mergeCell ref="I23:J23"/>
    <mergeCell ref="K23:L23"/>
    <mergeCell ref="M23:N23"/>
    <mergeCell ref="G21:H21"/>
    <mergeCell ref="I21:J21"/>
    <mergeCell ref="M21:N21"/>
    <mergeCell ref="G22:J22"/>
    <mergeCell ref="K22:O22"/>
    <mergeCell ref="B18:D18"/>
    <mergeCell ref="E18:F18"/>
    <mergeCell ref="G18:H18"/>
    <mergeCell ref="I18:J18"/>
    <mergeCell ref="B19:D19"/>
    <mergeCell ref="G19:H19"/>
    <mergeCell ref="I19:J19"/>
    <mergeCell ref="K18:L18"/>
    <mergeCell ref="M18:N18"/>
    <mergeCell ref="B17:O17"/>
    <mergeCell ref="H14:I14"/>
    <mergeCell ref="J14:K14"/>
    <mergeCell ref="H15:I15"/>
    <mergeCell ref="J15:K15"/>
    <mergeCell ref="E14:F14"/>
    <mergeCell ref="E15:F15"/>
    <mergeCell ref="E16:F16"/>
    <mergeCell ref="E20:F20"/>
    <mergeCell ref="L10:M10"/>
    <mergeCell ref="L11:M11"/>
    <mergeCell ref="L12:M12"/>
    <mergeCell ref="L13:M13"/>
    <mergeCell ref="L14:M14"/>
    <mergeCell ref="L15:M15"/>
    <mergeCell ref="L16:M16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  <mergeCell ref="H13:I13"/>
    <mergeCell ref="J13:K13"/>
    <mergeCell ref="H16:I16"/>
    <mergeCell ref="J16:K16"/>
    <mergeCell ref="E8:F8"/>
    <mergeCell ref="E9:F9"/>
    <mergeCell ref="E10:F10"/>
    <mergeCell ref="E11:F11"/>
    <mergeCell ref="E12:F12"/>
    <mergeCell ref="E13:F13"/>
    <mergeCell ref="B4:E4"/>
    <mergeCell ref="L4:O4"/>
    <mergeCell ref="H5:I5"/>
    <mergeCell ref="J5:K5"/>
    <mergeCell ref="L5:M5"/>
    <mergeCell ref="F4:G4"/>
    <mergeCell ref="I4:J4"/>
    <mergeCell ref="L6:M6"/>
    <mergeCell ref="L7:M7"/>
    <mergeCell ref="H6:I6"/>
    <mergeCell ref="J6:K6"/>
    <mergeCell ref="H7:I7"/>
    <mergeCell ref="J7:K7"/>
    <mergeCell ref="E5:F5"/>
    <mergeCell ref="E6:F6"/>
    <mergeCell ref="E7:F7"/>
    <mergeCell ref="L8:M8"/>
    <mergeCell ref="L9:M9"/>
  </mergeCells>
  <pageMargins left="0.25" right="0.25" top="0.75" bottom="0.75" header="0.3" footer="0.3"/>
  <pageSetup paperSize="9" scale="81" fitToHeight="0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7</xdr:col>
                    <xdr:colOff>114300</xdr:colOff>
                    <xdr:row>3</xdr:row>
                    <xdr:rowOff>19050</xdr:rowOff>
                  </from>
                  <to>
                    <xdr:col>7</xdr:col>
                    <xdr:colOff>447675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10</xdr:col>
                    <xdr:colOff>142875</xdr:colOff>
                    <xdr:row>3</xdr:row>
                    <xdr:rowOff>9525</xdr:rowOff>
                  </from>
                  <to>
                    <xdr:col>10</xdr:col>
                    <xdr:colOff>523875</xdr:colOff>
                    <xdr:row>3</xdr:row>
                    <xdr:rowOff>209550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Dane!$B$20:$B$135</xm:f>
          </x14:formula1>
          <xm:sqref>H6:I16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5"/>
  <sheetViews>
    <sheetView topLeftCell="A25" workbookViewId="0">
      <selection activeCell="O50" sqref="O50"/>
    </sheetView>
  </sheetViews>
  <sheetFormatPr defaultRowHeight="12.75" x14ac:dyDescent="0.2"/>
  <cols>
    <col min="1" max="1" width="10" style="55" customWidth="1"/>
    <col min="2" max="2" width="18.33203125" customWidth="1"/>
    <col min="5" max="5" width="12.5" customWidth="1"/>
    <col min="6" max="6" width="11.1640625" customWidth="1"/>
    <col min="8" max="8" width="14.1640625" customWidth="1"/>
    <col min="9" max="9" width="14.5" customWidth="1"/>
  </cols>
  <sheetData>
    <row r="1" spans="1:18" ht="15.75" thickBot="1" x14ac:dyDescent="0.3">
      <c r="A1" s="54" t="s">
        <v>199</v>
      </c>
    </row>
    <row r="2" spans="1:18" ht="15" x14ac:dyDescent="0.25">
      <c r="K2" s="297" t="s">
        <v>185</v>
      </c>
      <c r="L2" s="298"/>
      <c r="M2" s="298"/>
      <c r="N2" s="298"/>
      <c r="O2" s="298"/>
      <c r="P2" s="298"/>
      <c r="Q2" s="298"/>
      <c r="R2" s="299"/>
    </row>
    <row r="3" spans="1:18" ht="15" x14ac:dyDescent="0.25">
      <c r="A3" s="286" t="s">
        <v>200</v>
      </c>
      <c r="B3" s="286"/>
      <c r="C3" s="286"/>
      <c r="K3" s="313" t="s">
        <v>186</v>
      </c>
      <c r="L3" s="314"/>
      <c r="M3" s="314"/>
      <c r="N3" s="314"/>
      <c r="O3" s="314"/>
      <c r="P3" s="300" t="s">
        <v>187</v>
      </c>
      <c r="Q3" s="300"/>
      <c r="R3" s="301"/>
    </row>
    <row r="4" spans="1:18" ht="15" x14ac:dyDescent="0.25">
      <c r="A4" s="56" t="s">
        <v>13</v>
      </c>
      <c r="B4" s="48" t="s">
        <v>201</v>
      </c>
      <c r="C4" s="62">
        <v>45</v>
      </c>
      <c r="F4" s="67" t="s">
        <v>202</v>
      </c>
      <c r="G4" s="67"/>
      <c r="H4" s="67"/>
      <c r="I4" s="67"/>
      <c r="K4" s="40"/>
      <c r="L4" s="41"/>
      <c r="M4" s="41"/>
      <c r="N4" s="41"/>
      <c r="P4" s="42"/>
      <c r="Q4" s="42"/>
      <c r="R4" s="43"/>
    </row>
    <row r="5" spans="1:18" x14ac:dyDescent="0.2">
      <c r="A5" s="56" t="s">
        <v>203</v>
      </c>
      <c r="B5" s="53">
        <v>0.25</v>
      </c>
      <c r="C5" s="48">
        <f>B5*C4</f>
        <v>11.25</v>
      </c>
      <c r="F5" s="48" t="s">
        <v>203</v>
      </c>
      <c r="G5" s="53">
        <v>0.15</v>
      </c>
      <c r="H5" s="61" t="s">
        <v>214</v>
      </c>
      <c r="I5" s="61" t="s">
        <v>215</v>
      </c>
      <c r="K5" s="288" t="s">
        <v>188</v>
      </c>
      <c r="L5" s="289"/>
      <c r="M5" s="289"/>
      <c r="N5" s="289"/>
      <c r="O5" s="289"/>
      <c r="P5" s="290">
        <v>0.1</v>
      </c>
      <c r="Q5" s="290"/>
      <c r="R5" s="291"/>
    </row>
    <row r="6" spans="1:18" x14ac:dyDescent="0.2">
      <c r="A6" s="56" t="s">
        <v>204</v>
      </c>
      <c r="B6" s="53">
        <v>0.5</v>
      </c>
      <c r="C6" s="48">
        <f>B6*C4</f>
        <v>22.5</v>
      </c>
      <c r="F6" s="48" t="s">
        <v>204</v>
      </c>
      <c r="G6" s="53">
        <v>0.3</v>
      </c>
      <c r="H6" s="61" t="s">
        <v>216</v>
      </c>
      <c r="I6" s="61" t="s">
        <v>217</v>
      </c>
      <c r="K6" s="44"/>
      <c r="L6" s="45"/>
      <c r="M6" s="45"/>
      <c r="N6" s="45"/>
      <c r="O6" s="46"/>
      <c r="P6" s="41"/>
      <c r="Q6" s="41"/>
      <c r="R6" s="47"/>
    </row>
    <row r="7" spans="1:18" ht="13.5" thickBot="1" x14ac:dyDescent="0.25">
      <c r="A7" s="56" t="s">
        <v>205</v>
      </c>
      <c r="B7" s="53">
        <v>0.25</v>
      </c>
      <c r="C7" s="48">
        <f>B7*C4</f>
        <v>11.25</v>
      </c>
      <c r="F7" s="48" t="s">
        <v>205</v>
      </c>
      <c r="G7" s="53">
        <v>0.3</v>
      </c>
      <c r="H7" s="61" t="s">
        <v>218</v>
      </c>
      <c r="I7" s="61" t="s">
        <v>219</v>
      </c>
      <c r="K7" s="292" t="s">
        <v>189</v>
      </c>
      <c r="L7" s="293"/>
      <c r="M7" s="293"/>
      <c r="N7" s="293"/>
      <c r="O7" s="293"/>
      <c r="P7" s="315">
        <v>0.25</v>
      </c>
      <c r="Q7" s="315"/>
      <c r="R7" s="316"/>
    </row>
    <row r="8" spans="1:18" x14ac:dyDescent="0.2">
      <c r="B8" s="63"/>
      <c r="G8" s="63"/>
      <c r="H8" s="64"/>
      <c r="I8" s="64"/>
      <c r="K8" s="45"/>
      <c r="L8" s="45"/>
      <c r="M8" s="45"/>
      <c r="N8" s="45"/>
      <c r="O8" s="45"/>
      <c r="P8" s="65"/>
      <c r="Q8" s="65"/>
      <c r="R8" s="65"/>
    </row>
    <row r="9" spans="1:18" x14ac:dyDescent="0.2">
      <c r="A9" s="287" t="s">
        <v>223</v>
      </c>
      <c r="B9" s="287"/>
      <c r="F9" s="287" t="s">
        <v>225</v>
      </c>
      <c r="G9" s="287"/>
      <c r="H9" s="110"/>
      <c r="I9" s="110"/>
      <c r="K9" s="45"/>
      <c r="L9" s="45"/>
      <c r="M9" s="45"/>
      <c r="N9" s="45"/>
      <c r="O9" s="45"/>
      <c r="P9" s="65"/>
      <c r="Q9" s="65"/>
      <c r="R9" s="65"/>
    </row>
    <row r="10" spans="1:18" x14ac:dyDescent="0.2">
      <c r="A10" s="61" t="s">
        <v>220</v>
      </c>
      <c r="B10" s="66" t="s">
        <v>221</v>
      </c>
      <c r="F10" s="61" t="s">
        <v>214</v>
      </c>
      <c r="G10" s="61" t="s">
        <v>215</v>
      </c>
      <c r="H10" s="64"/>
      <c r="I10" s="64"/>
      <c r="K10" s="45"/>
      <c r="L10" s="45"/>
      <c r="M10" s="45"/>
      <c r="N10" s="45"/>
      <c r="O10" s="45"/>
      <c r="P10" s="65"/>
      <c r="Q10" s="65"/>
      <c r="R10" s="65"/>
    </row>
    <row r="11" spans="1:18" x14ac:dyDescent="0.2">
      <c r="A11" s="61" t="s">
        <v>216</v>
      </c>
      <c r="B11" s="66" t="s">
        <v>217</v>
      </c>
      <c r="F11" s="61" t="s">
        <v>216</v>
      </c>
      <c r="G11" s="61" t="s">
        <v>217</v>
      </c>
      <c r="H11" s="64"/>
      <c r="I11" s="64"/>
      <c r="K11" s="45"/>
      <c r="L11" s="45"/>
      <c r="M11" s="45"/>
      <c r="N11" s="45"/>
      <c r="O11" s="45"/>
      <c r="P11" s="65"/>
      <c r="Q11" s="65"/>
      <c r="R11" s="65"/>
    </row>
    <row r="12" spans="1:18" ht="13.5" thickBot="1" x14ac:dyDescent="0.25">
      <c r="A12" s="61" t="s">
        <v>218</v>
      </c>
      <c r="B12" s="61" t="s">
        <v>219</v>
      </c>
      <c r="F12" s="61" t="s">
        <v>218</v>
      </c>
      <c r="G12" s="61" t="s">
        <v>219</v>
      </c>
      <c r="H12" s="64"/>
      <c r="I12" s="64"/>
      <c r="K12" s="45"/>
      <c r="L12" s="45"/>
      <c r="M12" s="45"/>
      <c r="N12" s="45"/>
      <c r="O12" s="45"/>
      <c r="P12" s="65"/>
      <c r="Q12" s="65"/>
      <c r="R12" s="65"/>
    </row>
    <row r="13" spans="1:18" ht="14.25" x14ac:dyDescent="0.2">
      <c r="A13" s="287" t="s">
        <v>222</v>
      </c>
      <c r="B13" s="287"/>
      <c r="G13" s="63"/>
      <c r="H13" s="64"/>
      <c r="I13" s="64"/>
      <c r="K13" s="317" t="s">
        <v>226</v>
      </c>
      <c r="L13" s="318"/>
      <c r="M13" s="318"/>
      <c r="N13" s="318"/>
      <c r="O13" s="318"/>
      <c r="P13" s="318"/>
      <c r="Q13" s="318"/>
      <c r="R13" s="319"/>
    </row>
    <row r="14" spans="1:18" x14ac:dyDescent="0.2">
      <c r="A14" s="61" t="s">
        <v>220</v>
      </c>
      <c r="B14" s="66" t="s">
        <v>217</v>
      </c>
      <c r="G14" s="63"/>
      <c r="H14" s="64"/>
      <c r="I14" s="64"/>
      <c r="K14" s="44"/>
      <c r="L14" s="45"/>
      <c r="M14" s="45"/>
      <c r="N14" s="45"/>
      <c r="O14" s="45"/>
      <c r="P14" s="65"/>
      <c r="Q14" s="65"/>
      <c r="R14" s="71"/>
    </row>
    <row r="15" spans="1:18" ht="13.5" thickBot="1" x14ac:dyDescent="0.25">
      <c r="A15" s="61" t="s">
        <v>224</v>
      </c>
      <c r="B15" s="61" t="s">
        <v>219</v>
      </c>
      <c r="K15" s="292" t="s">
        <v>227</v>
      </c>
      <c r="L15" s="293"/>
      <c r="M15" s="293"/>
      <c r="N15" s="293"/>
      <c r="O15" s="293"/>
      <c r="P15" s="320">
        <v>45</v>
      </c>
      <c r="Q15" s="321"/>
      <c r="R15" s="322"/>
    </row>
    <row r="16" spans="1:18" ht="15.75" thickBot="1" x14ac:dyDescent="0.3">
      <c r="F16" s="296" t="s">
        <v>202</v>
      </c>
      <c r="G16" s="296"/>
      <c r="H16" s="296"/>
    </row>
    <row r="17" spans="1:18" ht="38.25" x14ac:dyDescent="0.25">
      <c r="A17" s="72" t="s">
        <v>206</v>
      </c>
      <c r="B17" s="73" t="s">
        <v>52</v>
      </c>
      <c r="C17" s="73" t="s">
        <v>207</v>
      </c>
      <c r="D17" s="73" t="s">
        <v>53</v>
      </c>
      <c r="E17" s="73" t="s">
        <v>208</v>
      </c>
      <c r="F17" s="73" t="s">
        <v>209</v>
      </c>
      <c r="G17" s="73" t="s">
        <v>204</v>
      </c>
      <c r="H17" s="73" t="s">
        <v>205</v>
      </c>
      <c r="I17" s="73" t="s">
        <v>210</v>
      </c>
      <c r="K17" s="297" t="s">
        <v>190</v>
      </c>
      <c r="L17" s="298"/>
      <c r="M17" s="298"/>
      <c r="N17" s="298"/>
      <c r="O17" s="298"/>
      <c r="P17" s="298"/>
      <c r="Q17" s="298"/>
      <c r="R17" s="299"/>
    </row>
    <row r="18" spans="1:18" x14ac:dyDescent="0.2">
      <c r="A18" s="74">
        <v>1</v>
      </c>
      <c r="B18" s="59">
        <v>2</v>
      </c>
      <c r="C18" s="59">
        <v>3</v>
      </c>
      <c r="D18" s="59">
        <v>4</v>
      </c>
      <c r="E18" s="59">
        <v>5</v>
      </c>
      <c r="F18" s="59">
        <v>0.15</v>
      </c>
      <c r="G18" s="59">
        <v>0.3</v>
      </c>
      <c r="H18" s="59">
        <v>0.3</v>
      </c>
      <c r="I18" s="59">
        <v>0.25</v>
      </c>
      <c r="K18" s="313" t="s">
        <v>186</v>
      </c>
      <c r="L18" s="314"/>
      <c r="M18" s="314"/>
      <c r="N18" s="314"/>
      <c r="O18" s="314"/>
      <c r="P18" s="300" t="s">
        <v>187</v>
      </c>
      <c r="Q18" s="300"/>
      <c r="R18" s="301"/>
    </row>
    <row r="19" spans="1:18" hidden="1" x14ac:dyDescent="0.2">
      <c r="A19" s="74"/>
      <c r="B19" s="59" t="s">
        <v>230</v>
      </c>
      <c r="C19" s="59"/>
      <c r="D19" s="59"/>
      <c r="E19" s="59"/>
      <c r="F19" s="59"/>
      <c r="G19" s="59"/>
      <c r="H19" s="59"/>
      <c r="I19" s="59"/>
      <c r="K19" s="40"/>
      <c r="L19" s="41"/>
      <c r="M19" s="41"/>
      <c r="N19" s="41"/>
      <c r="O19" s="41"/>
      <c r="P19" s="42"/>
      <c r="Q19" s="42"/>
      <c r="R19" s="43"/>
    </row>
    <row r="20" spans="1:18" x14ac:dyDescent="0.2">
      <c r="A20" s="75">
        <v>1</v>
      </c>
      <c r="B20" s="58" t="s">
        <v>89</v>
      </c>
      <c r="C20" s="58" t="s">
        <v>55</v>
      </c>
      <c r="D20" s="58">
        <v>47</v>
      </c>
      <c r="E20" s="58">
        <v>140</v>
      </c>
      <c r="F20" s="58">
        <f>F18*D20</f>
        <v>7.05</v>
      </c>
      <c r="G20" s="58">
        <f>G18*D20</f>
        <v>14.1</v>
      </c>
      <c r="H20" s="58">
        <f>H18*D20</f>
        <v>14.1</v>
      </c>
      <c r="I20" s="58">
        <f>E20*25%</f>
        <v>35</v>
      </c>
      <c r="K20" s="40"/>
      <c r="L20" s="41"/>
      <c r="M20" s="41"/>
      <c r="N20" s="41"/>
      <c r="P20" s="42"/>
      <c r="Q20" s="42"/>
      <c r="R20" s="43"/>
    </row>
    <row r="21" spans="1:18" x14ac:dyDescent="0.2">
      <c r="A21" s="75">
        <v>2</v>
      </c>
      <c r="B21" s="58" t="s">
        <v>130</v>
      </c>
      <c r="C21" s="58" t="s">
        <v>55</v>
      </c>
      <c r="D21" s="58">
        <v>41</v>
      </c>
      <c r="E21" s="58">
        <v>120</v>
      </c>
      <c r="F21" s="58">
        <f>F18*D21</f>
        <v>6.1499999999999995</v>
      </c>
      <c r="G21" s="58">
        <f>G18*D21</f>
        <v>12.299999999999999</v>
      </c>
      <c r="H21" s="58">
        <f>H18*D21</f>
        <v>12.299999999999999</v>
      </c>
      <c r="I21" s="58">
        <f t="shared" ref="I21:I84" si="0">E21*25%</f>
        <v>30</v>
      </c>
      <c r="K21" s="288" t="s">
        <v>188</v>
      </c>
      <c r="L21" s="289"/>
      <c r="M21" s="289"/>
      <c r="N21" s="289"/>
      <c r="O21" s="289"/>
      <c r="P21" s="290">
        <v>0.2</v>
      </c>
      <c r="Q21" s="290"/>
      <c r="R21" s="291"/>
    </row>
    <row r="22" spans="1:18" x14ac:dyDescent="0.2">
      <c r="A22" s="75">
        <v>3</v>
      </c>
      <c r="B22" s="58" t="s">
        <v>54</v>
      </c>
      <c r="C22" s="58" t="s">
        <v>55</v>
      </c>
      <c r="D22" s="58">
        <v>50</v>
      </c>
      <c r="E22" s="58">
        <v>200</v>
      </c>
      <c r="F22" s="58">
        <f>D22*15%</f>
        <v>7.5</v>
      </c>
      <c r="G22" s="58">
        <f>D22*30%</f>
        <v>15</v>
      </c>
      <c r="H22" s="58">
        <f>D22*30%</f>
        <v>15</v>
      </c>
      <c r="I22" s="58">
        <f t="shared" si="0"/>
        <v>50</v>
      </c>
      <c r="K22" s="44"/>
      <c r="L22" s="45"/>
      <c r="M22" s="45"/>
      <c r="N22" s="45"/>
      <c r="O22" s="46"/>
      <c r="P22" s="41"/>
      <c r="Q22" s="41"/>
      <c r="R22" s="47"/>
    </row>
    <row r="23" spans="1:18" x14ac:dyDescent="0.2">
      <c r="A23" s="75">
        <v>4</v>
      </c>
      <c r="B23" s="58" t="s">
        <v>131</v>
      </c>
      <c r="C23" s="58" t="s">
        <v>55</v>
      </c>
      <c r="D23" s="58">
        <v>50</v>
      </c>
      <c r="E23" s="58">
        <v>200</v>
      </c>
      <c r="F23" s="58">
        <f t="shared" ref="F23:F86" si="1">D23*15%</f>
        <v>7.5</v>
      </c>
      <c r="G23" s="58">
        <f t="shared" ref="G23:G86" si="2">D23*30%</f>
        <v>15</v>
      </c>
      <c r="H23" s="58">
        <f t="shared" ref="H23:H86" si="3">D23*30%</f>
        <v>15</v>
      </c>
      <c r="I23" s="58">
        <f t="shared" si="0"/>
        <v>50</v>
      </c>
      <c r="K23" s="288" t="s">
        <v>189</v>
      </c>
      <c r="L23" s="289"/>
      <c r="M23" s="289"/>
      <c r="N23" s="289"/>
      <c r="O23" s="289"/>
      <c r="P23" s="290">
        <v>1.5</v>
      </c>
      <c r="Q23" s="290"/>
      <c r="R23" s="291"/>
    </row>
    <row r="24" spans="1:18" x14ac:dyDescent="0.2">
      <c r="A24" s="75">
        <v>5</v>
      </c>
      <c r="B24" s="58" t="s">
        <v>56</v>
      </c>
      <c r="C24" s="58" t="s">
        <v>57</v>
      </c>
      <c r="D24" s="58">
        <v>61</v>
      </c>
      <c r="E24" s="58">
        <v>180</v>
      </c>
      <c r="F24" s="58">
        <f t="shared" si="1"/>
        <v>9.15</v>
      </c>
      <c r="G24" s="58">
        <f t="shared" si="2"/>
        <v>18.3</v>
      </c>
      <c r="H24" s="58">
        <f t="shared" si="3"/>
        <v>18.3</v>
      </c>
      <c r="I24" s="58">
        <f t="shared" si="0"/>
        <v>45</v>
      </c>
      <c r="K24" s="49"/>
      <c r="R24" s="50"/>
    </row>
    <row r="25" spans="1:18" ht="13.5" thickBot="1" x14ac:dyDescent="0.25">
      <c r="A25" s="75">
        <v>6</v>
      </c>
      <c r="B25" s="58" t="s">
        <v>90</v>
      </c>
      <c r="C25" s="58" t="s">
        <v>55</v>
      </c>
      <c r="D25" s="58">
        <v>50</v>
      </c>
      <c r="E25" s="58">
        <v>200</v>
      </c>
      <c r="F25" s="58">
        <f t="shared" si="1"/>
        <v>7.5</v>
      </c>
      <c r="G25" s="58">
        <f t="shared" si="2"/>
        <v>15</v>
      </c>
      <c r="H25" s="58">
        <f t="shared" si="3"/>
        <v>15</v>
      </c>
      <c r="I25" s="58">
        <f t="shared" si="0"/>
        <v>50</v>
      </c>
      <c r="K25" s="292" t="s">
        <v>191</v>
      </c>
      <c r="L25" s="293"/>
      <c r="M25" s="293"/>
      <c r="N25" s="293"/>
      <c r="O25" s="293"/>
      <c r="P25" s="294">
        <v>20</v>
      </c>
      <c r="Q25" s="294"/>
      <c r="R25" s="295"/>
    </row>
    <row r="26" spans="1:18" x14ac:dyDescent="0.2">
      <c r="A26" s="75">
        <v>7</v>
      </c>
      <c r="B26" s="58" t="s">
        <v>72</v>
      </c>
      <c r="C26" s="58" t="s">
        <v>57</v>
      </c>
      <c r="D26" s="58">
        <v>50</v>
      </c>
      <c r="E26" s="58">
        <v>150</v>
      </c>
      <c r="F26" s="58">
        <f t="shared" si="1"/>
        <v>7.5</v>
      </c>
      <c r="G26" s="58">
        <f t="shared" si="2"/>
        <v>15</v>
      </c>
      <c r="H26" s="58">
        <f t="shared" si="3"/>
        <v>15</v>
      </c>
      <c r="I26" s="58">
        <f t="shared" si="0"/>
        <v>37.5</v>
      </c>
    </row>
    <row r="27" spans="1:18" ht="13.5" thickBot="1" x14ac:dyDescent="0.25">
      <c r="A27" s="75">
        <v>8</v>
      </c>
      <c r="B27" s="58" t="s">
        <v>91</v>
      </c>
      <c r="C27" s="58" t="s">
        <v>55</v>
      </c>
      <c r="D27" s="58">
        <v>42</v>
      </c>
      <c r="E27" s="58">
        <v>145</v>
      </c>
      <c r="F27" s="58">
        <f t="shared" si="1"/>
        <v>6.3</v>
      </c>
      <c r="G27" s="58">
        <f t="shared" si="2"/>
        <v>12.6</v>
      </c>
      <c r="H27" s="58">
        <f t="shared" si="3"/>
        <v>12.6</v>
      </c>
      <c r="I27" s="58">
        <f t="shared" si="0"/>
        <v>36.25</v>
      </c>
    </row>
    <row r="28" spans="1:18" ht="15" x14ac:dyDescent="0.25">
      <c r="A28" s="75">
        <v>9</v>
      </c>
      <c r="B28" s="58" t="s">
        <v>86</v>
      </c>
      <c r="C28" s="58" t="s">
        <v>87</v>
      </c>
      <c r="D28" s="58">
        <v>95</v>
      </c>
      <c r="E28" s="58">
        <v>270</v>
      </c>
      <c r="F28" s="58">
        <f t="shared" si="1"/>
        <v>14.25</v>
      </c>
      <c r="G28" s="58">
        <f t="shared" si="2"/>
        <v>28.5</v>
      </c>
      <c r="H28" s="58">
        <f t="shared" si="3"/>
        <v>28.5</v>
      </c>
      <c r="I28" s="58">
        <f t="shared" si="0"/>
        <v>67.5</v>
      </c>
      <c r="K28" s="297" t="s">
        <v>192</v>
      </c>
      <c r="L28" s="298"/>
      <c r="M28" s="298"/>
      <c r="N28" s="298"/>
      <c r="O28" s="298"/>
      <c r="P28" s="298"/>
      <c r="Q28" s="298"/>
      <c r="R28" s="299"/>
    </row>
    <row r="29" spans="1:18" x14ac:dyDescent="0.2">
      <c r="A29" s="75">
        <v>10</v>
      </c>
      <c r="B29" s="58" t="s">
        <v>132</v>
      </c>
      <c r="C29" s="58" t="s">
        <v>55</v>
      </c>
      <c r="D29" s="58">
        <v>57</v>
      </c>
      <c r="E29" s="58">
        <v>150</v>
      </c>
      <c r="F29" s="58">
        <f t="shared" si="1"/>
        <v>8.5499999999999989</v>
      </c>
      <c r="G29" s="58">
        <f t="shared" si="2"/>
        <v>17.099999999999998</v>
      </c>
      <c r="H29" s="58">
        <f t="shared" si="3"/>
        <v>17.099999999999998</v>
      </c>
      <c r="I29" s="58">
        <f t="shared" si="0"/>
        <v>37.5</v>
      </c>
      <c r="K29" s="312" t="s">
        <v>193</v>
      </c>
      <c r="L29" s="300"/>
      <c r="M29" s="300"/>
      <c r="N29" s="300"/>
      <c r="O29" s="300"/>
      <c r="P29" s="300" t="s">
        <v>194</v>
      </c>
      <c r="Q29" s="300"/>
      <c r="R29" s="301"/>
    </row>
    <row r="30" spans="1:18" x14ac:dyDescent="0.2">
      <c r="A30" s="75">
        <v>11</v>
      </c>
      <c r="B30" s="58" t="s">
        <v>92</v>
      </c>
      <c r="C30" s="58" t="s">
        <v>55</v>
      </c>
      <c r="D30" s="58">
        <v>43</v>
      </c>
      <c r="E30" s="58">
        <v>150</v>
      </c>
      <c r="F30" s="58">
        <f t="shared" si="1"/>
        <v>6.45</v>
      </c>
      <c r="G30" s="58">
        <f t="shared" si="2"/>
        <v>12.9</v>
      </c>
      <c r="H30" s="58">
        <f t="shared" si="3"/>
        <v>12.9</v>
      </c>
      <c r="I30" s="58">
        <f t="shared" si="0"/>
        <v>37.5</v>
      </c>
      <c r="K30" s="49"/>
      <c r="R30" s="50"/>
    </row>
    <row r="31" spans="1:18" x14ac:dyDescent="0.2">
      <c r="A31" s="75">
        <v>12</v>
      </c>
      <c r="B31" s="58" t="s">
        <v>93</v>
      </c>
      <c r="C31" s="58" t="s">
        <v>57</v>
      </c>
      <c r="D31" s="58">
        <v>50</v>
      </c>
      <c r="E31" s="58">
        <v>120</v>
      </c>
      <c r="F31" s="58">
        <f t="shared" si="1"/>
        <v>7.5</v>
      </c>
      <c r="G31" s="58">
        <f t="shared" si="2"/>
        <v>15</v>
      </c>
      <c r="H31" s="58">
        <f t="shared" si="3"/>
        <v>15</v>
      </c>
      <c r="I31" s="58">
        <f t="shared" si="0"/>
        <v>30</v>
      </c>
      <c r="K31" s="306" t="s">
        <v>195</v>
      </c>
      <c r="L31" s="307"/>
      <c r="M31" s="307"/>
      <c r="N31" s="307"/>
      <c r="O31" s="307"/>
      <c r="P31" s="308">
        <v>0.89</v>
      </c>
      <c r="Q31" s="308"/>
      <c r="R31" s="309"/>
    </row>
    <row r="32" spans="1:18" x14ac:dyDescent="0.2">
      <c r="A32" s="75">
        <v>13</v>
      </c>
      <c r="B32" s="58" t="s">
        <v>133</v>
      </c>
      <c r="C32" s="58" t="s">
        <v>55</v>
      </c>
      <c r="D32" s="58">
        <v>55</v>
      </c>
      <c r="E32" s="58">
        <v>200</v>
      </c>
      <c r="F32" s="58">
        <f t="shared" si="1"/>
        <v>8.25</v>
      </c>
      <c r="G32" s="58">
        <f t="shared" si="2"/>
        <v>16.5</v>
      </c>
      <c r="H32" s="58">
        <f t="shared" si="3"/>
        <v>16.5</v>
      </c>
      <c r="I32" s="58">
        <f t="shared" si="0"/>
        <v>50</v>
      </c>
      <c r="K32" s="49"/>
      <c r="R32" s="50"/>
    </row>
    <row r="33" spans="1:18" x14ac:dyDescent="0.2">
      <c r="A33" s="75">
        <v>14</v>
      </c>
      <c r="B33" s="58" t="s">
        <v>134</v>
      </c>
      <c r="C33" s="58" t="s">
        <v>55</v>
      </c>
      <c r="D33" s="58">
        <v>42</v>
      </c>
      <c r="E33" s="58">
        <v>130</v>
      </c>
      <c r="F33" s="58">
        <f t="shared" si="1"/>
        <v>6.3</v>
      </c>
      <c r="G33" s="58">
        <f t="shared" si="2"/>
        <v>12.6</v>
      </c>
      <c r="H33" s="58">
        <f t="shared" si="3"/>
        <v>12.6</v>
      </c>
      <c r="I33" s="58">
        <f t="shared" si="0"/>
        <v>32.5</v>
      </c>
      <c r="K33" s="306" t="s">
        <v>196</v>
      </c>
      <c r="L33" s="307"/>
      <c r="M33" s="307"/>
      <c r="N33" s="307"/>
      <c r="O33" s="307"/>
      <c r="P33" s="310">
        <v>1.1499999999999999</v>
      </c>
      <c r="Q33" s="310"/>
      <c r="R33" s="311"/>
    </row>
    <row r="34" spans="1:18" ht="25.5" x14ac:dyDescent="0.2">
      <c r="A34" s="75">
        <v>15</v>
      </c>
      <c r="B34" s="58" t="s">
        <v>135</v>
      </c>
      <c r="C34" s="58" t="s">
        <v>55</v>
      </c>
      <c r="D34" s="58">
        <v>41</v>
      </c>
      <c r="E34" s="58">
        <v>100</v>
      </c>
      <c r="F34" s="58">
        <f t="shared" si="1"/>
        <v>6.1499999999999995</v>
      </c>
      <c r="G34" s="58">
        <f t="shared" si="2"/>
        <v>12.299999999999999</v>
      </c>
      <c r="H34" s="58">
        <f t="shared" si="3"/>
        <v>12.299999999999999</v>
      </c>
      <c r="I34" s="58">
        <f t="shared" si="0"/>
        <v>25</v>
      </c>
      <c r="K34" s="49"/>
      <c r="R34" s="50"/>
    </row>
    <row r="35" spans="1:18" x14ac:dyDescent="0.2">
      <c r="A35" s="75">
        <v>16</v>
      </c>
      <c r="B35" s="58" t="s">
        <v>73</v>
      </c>
      <c r="C35" s="58" t="s">
        <v>55</v>
      </c>
      <c r="D35" s="58">
        <v>43</v>
      </c>
      <c r="E35" s="58">
        <v>120</v>
      </c>
      <c r="F35" s="58">
        <f t="shared" si="1"/>
        <v>6.45</v>
      </c>
      <c r="G35" s="58">
        <f t="shared" si="2"/>
        <v>12.9</v>
      </c>
      <c r="H35" s="58">
        <f t="shared" si="3"/>
        <v>12.9</v>
      </c>
      <c r="I35" s="58">
        <f t="shared" si="0"/>
        <v>30</v>
      </c>
      <c r="K35" s="306" t="s">
        <v>197</v>
      </c>
      <c r="L35" s="307"/>
      <c r="M35" s="307"/>
      <c r="N35" s="307"/>
      <c r="O35" s="307"/>
      <c r="P35" s="310">
        <v>0.69</v>
      </c>
      <c r="Q35" s="310"/>
      <c r="R35" s="311"/>
    </row>
    <row r="36" spans="1:18" x14ac:dyDescent="0.2">
      <c r="A36" s="75">
        <v>17</v>
      </c>
      <c r="B36" s="58" t="s">
        <v>136</v>
      </c>
      <c r="C36" s="58" t="s">
        <v>55</v>
      </c>
      <c r="D36" s="58">
        <v>40</v>
      </c>
      <c r="E36" s="58">
        <v>120</v>
      </c>
      <c r="F36" s="58">
        <f t="shared" si="1"/>
        <v>6</v>
      </c>
      <c r="G36" s="58">
        <f t="shared" si="2"/>
        <v>12</v>
      </c>
      <c r="H36" s="58">
        <f t="shared" si="3"/>
        <v>12</v>
      </c>
      <c r="I36" s="58">
        <f t="shared" si="0"/>
        <v>30</v>
      </c>
      <c r="K36" s="49"/>
      <c r="R36" s="50"/>
    </row>
    <row r="37" spans="1:18" ht="13.5" thickBot="1" x14ac:dyDescent="0.25">
      <c r="A37" s="75">
        <v>18</v>
      </c>
      <c r="B37" s="58" t="s">
        <v>74</v>
      </c>
      <c r="C37" s="58" t="s">
        <v>57</v>
      </c>
      <c r="D37" s="58">
        <v>60</v>
      </c>
      <c r="E37" s="58">
        <v>120</v>
      </c>
      <c r="F37" s="58">
        <f t="shared" si="1"/>
        <v>9</v>
      </c>
      <c r="G37" s="58">
        <f t="shared" si="2"/>
        <v>18</v>
      </c>
      <c r="H37" s="58">
        <f t="shared" si="3"/>
        <v>18</v>
      </c>
      <c r="I37" s="58">
        <f t="shared" si="0"/>
        <v>30</v>
      </c>
      <c r="K37" s="302" t="s">
        <v>198</v>
      </c>
      <c r="L37" s="303"/>
      <c r="M37" s="303"/>
      <c r="N37" s="303"/>
      <c r="O37" s="303"/>
      <c r="P37" s="304">
        <v>0.42</v>
      </c>
      <c r="Q37" s="304"/>
      <c r="R37" s="305"/>
    </row>
    <row r="38" spans="1:18" x14ac:dyDescent="0.2">
      <c r="A38" s="75">
        <v>19</v>
      </c>
      <c r="B38" s="58" t="s">
        <v>94</v>
      </c>
      <c r="C38" s="58" t="s">
        <v>55</v>
      </c>
      <c r="D38" s="58">
        <v>55</v>
      </c>
      <c r="E38" s="58">
        <v>170</v>
      </c>
      <c r="F38" s="58">
        <f t="shared" si="1"/>
        <v>8.25</v>
      </c>
      <c r="G38" s="58">
        <f t="shared" si="2"/>
        <v>16.5</v>
      </c>
      <c r="H38" s="58">
        <f t="shared" si="3"/>
        <v>16.5</v>
      </c>
      <c r="I38" s="58">
        <f t="shared" si="0"/>
        <v>42.5</v>
      </c>
    </row>
    <row r="39" spans="1:18" x14ac:dyDescent="0.2">
      <c r="A39" s="75">
        <v>20</v>
      </c>
      <c r="B39" s="58" t="s">
        <v>137</v>
      </c>
      <c r="C39" s="58" t="s">
        <v>55</v>
      </c>
      <c r="D39" s="58">
        <v>42</v>
      </c>
      <c r="E39" s="58">
        <v>125</v>
      </c>
      <c r="F39" s="58">
        <f t="shared" si="1"/>
        <v>6.3</v>
      </c>
      <c r="G39" s="58">
        <f t="shared" si="2"/>
        <v>12.6</v>
      </c>
      <c r="H39" s="58">
        <f t="shared" si="3"/>
        <v>12.6</v>
      </c>
      <c r="I39" s="58">
        <f t="shared" si="0"/>
        <v>31.25</v>
      </c>
    </row>
    <row r="40" spans="1:18" x14ac:dyDescent="0.2">
      <c r="A40" s="75">
        <v>21</v>
      </c>
      <c r="B40" s="58" t="s">
        <v>95</v>
      </c>
      <c r="C40" s="58" t="s">
        <v>55</v>
      </c>
      <c r="D40" s="58">
        <v>43</v>
      </c>
      <c r="E40" s="58">
        <v>160</v>
      </c>
      <c r="F40" s="58">
        <f t="shared" si="1"/>
        <v>6.45</v>
      </c>
      <c r="G40" s="58">
        <f t="shared" si="2"/>
        <v>12.9</v>
      </c>
      <c r="H40" s="58">
        <f t="shared" si="3"/>
        <v>12.9</v>
      </c>
      <c r="I40" s="58">
        <f t="shared" si="0"/>
        <v>40</v>
      </c>
    </row>
    <row r="41" spans="1:18" x14ac:dyDescent="0.2">
      <c r="A41" s="75">
        <v>22</v>
      </c>
      <c r="B41" s="58" t="s">
        <v>138</v>
      </c>
      <c r="C41" s="58" t="s">
        <v>55</v>
      </c>
      <c r="D41" s="58">
        <v>40</v>
      </c>
      <c r="E41" s="58">
        <v>110</v>
      </c>
      <c r="F41" s="58">
        <f t="shared" si="1"/>
        <v>6</v>
      </c>
      <c r="G41" s="58">
        <f t="shared" si="2"/>
        <v>12</v>
      </c>
      <c r="H41" s="58">
        <f t="shared" si="3"/>
        <v>12</v>
      </c>
      <c r="I41" s="58">
        <f t="shared" si="0"/>
        <v>27.5</v>
      </c>
    </row>
    <row r="42" spans="1:18" x14ac:dyDescent="0.2">
      <c r="A42" s="75">
        <v>23</v>
      </c>
      <c r="B42" s="58" t="s">
        <v>139</v>
      </c>
      <c r="C42" s="58" t="s">
        <v>55</v>
      </c>
      <c r="D42" s="58">
        <v>41</v>
      </c>
      <c r="E42" s="58">
        <v>120</v>
      </c>
      <c r="F42" s="58">
        <f t="shared" si="1"/>
        <v>6.1499999999999995</v>
      </c>
      <c r="G42" s="58">
        <f t="shared" si="2"/>
        <v>12.299999999999999</v>
      </c>
      <c r="H42" s="58">
        <f t="shared" si="3"/>
        <v>12.299999999999999</v>
      </c>
      <c r="I42" s="58">
        <f t="shared" si="0"/>
        <v>30</v>
      </c>
    </row>
    <row r="43" spans="1:18" x14ac:dyDescent="0.2">
      <c r="A43" s="75">
        <v>24</v>
      </c>
      <c r="B43" s="58" t="s">
        <v>140</v>
      </c>
      <c r="C43" s="58" t="s">
        <v>141</v>
      </c>
      <c r="D43" s="58">
        <v>446</v>
      </c>
      <c r="E43" s="58">
        <v>1430</v>
      </c>
      <c r="F43" s="58">
        <f t="shared" si="1"/>
        <v>66.899999999999991</v>
      </c>
      <c r="G43" s="58">
        <f t="shared" si="2"/>
        <v>133.79999999999998</v>
      </c>
      <c r="H43" s="58">
        <f t="shared" si="3"/>
        <v>133.79999999999998</v>
      </c>
      <c r="I43" s="58">
        <f t="shared" si="0"/>
        <v>357.5</v>
      </c>
    </row>
    <row r="44" spans="1:18" ht="25.5" x14ac:dyDescent="0.2">
      <c r="A44" s="75">
        <v>25</v>
      </c>
      <c r="B44" s="58" t="s">
        <v>58</v>
      </c>
      <c r="C44" s="58" t="s">
        <v>57</v>
      </c>
      <c r="D44" s="58">
        <v>66</v>
      </c>
      <c r="E44" s="58">
        <v>220</v>
      </c>
      <c r="F44" s="58">
        <f t="shared" si="1"/>
        <v>9.9</v>
      </c>
      <c r="G44" s="58">
        <f t="shared" si="2"/>
        <v>19.8</v>
      </c>
      <c r="H44" s="58">
        <f t="shared" si="3"/>
        <v>19.8</v>
      </c>
      <c r="I44" s="58">
        <f t="shared" si="0"/>
        <v>55</v>
      </c>
      <c r="L44" s="57"/>
    </row>
    <row r="45" spans="1:18" x14ac:dyDescent="0.2">
      <c r="A45" s="75">
        <v>26</v>
      </c>
      <c r="B45" s="58" t="s">
        <v>59</v>
      </c>
      <c r="C45" s="58" t="s">
        <v>57</v>
      </c>
      <c r="D45" s="58">
        <v>55</v>
      </c>
      <c r="E45" s="58">
        <v>150</v>
      </c>
      <c r="F45" s="58">
        <f t="shared" si="1"/>
        <v>8.25</v>
      </c>
      <c r="G45" s="58">
        <f t="shared" si="2"/>
        <v>16.5</v>
      </c>
      <c r="H45" s="58">
        <f t="shared" si="3"/>
        <v>16.5</v>
      </c>
      <c r="I45" s="58">
        <f t="shared" si="0"/>
        <v>37.5</v>
      </c>
    </row>
    <row r="46" spans="1:18" x14ac:dyDescent="0.2">
      <c r="A46" s="75">
        <v>27</v>
      </c>
      <c r="B46" s="58" t="s">
        <v>75</v>
      </c>
      <c r="C46" s="58" t="s">
        <v>57</v>
      </c>
      <c r="D46" s="58">
        <v>44</v>
      </c>
      <c r="E46" s="58">
        <v>110</v>
      </c>
      <c r="F46" s="58">
        <f t="shared" si="1"/>
        <v>6.6</v>
      </c>
      <c r="G46" s="58">
        <f t="shared" si="2"/>
        <v>13.2</v>
      </c>
      <c r="H46" s="58">
        <f t="shared" si="3"/>
        <v>13.2</v>
      </c>
      <c r="I46" s="58">
        <f t="shared" si="0"/>
        <v>27.5</v>
      </c>
    </row>
    <row r="47" spans="1:18" x14ac:dyDescent="0.2">
      <c r="A47" s="75">
        <v>28</v>
      </c>
      <c r="B47" s="58" t="s">
        <v>142</v>
      </c>
      <c r="C47" s="58" t="s">
        <v>55</v>
      </c>
      <c r="D47" s="58">
        <v>45</v>
      </c>
      <c r="E47" s="58">
        <v>110</v>
      </c>
      <c r="F47" s="58">
        <f t="shared" si="1"/>
        <v>6.75</v>
      </c>
      <c r="G47" s="58">
        <f t="shared" si="2"/>
        <v>13.5</v>
      </c>
      <c r="H47" s="58">
        <f t="shared" si="3"/>
        <v>13.5</v>
      </c>
      <c r="I47" s="58">
        <f t="shared" si="0"/>
        <v>27.5</v>
      </c>
    </row>
    <row r="48" spans="1:18" x14ac:dyDescent="0.2">
      <c r="A48" s="75">
        <v>29</v>
      </c>
      <c r="B48" s="58" t="s">
        <v>60</v>
      </c>
      <c r="C48" s="58" t="s">
        <v>57</v>
      </c>
      <c r="D48" s="58">
        <v>55</v>
      </c>
      <c r="E48" s="58">
        <v>300</v>
      </c>
      <c r="F48" s="58">
        <f t="shared" si="1"/>
        <v>8.25</v>
      </c>
      <c r="G48" s="58">
        <f t="shared" si="2"/>
        <v>16.5</v>
      </c>
      <c r="H48" s="58">
        <f t="shared" si="3"/>
        <v>16.5</v>
      </c>
      <c r="I48" s="58">
        <f t="shared" si="0"/>
        <v>75</v>
      </c>
    </row>
    <row r="49" spans="1:9" x14ac:dyDescent="0.2">
      <c r="A49" s="75">
        <v>30</v>
      </c>
      <c r="B49" s="58" t="s">
        <v>143</v>
      </c>
      <c r="C49" s="58" t="s">
        <v>55</v>
      </c>
      <c r="D49" s="58">
        <v>53</v>
      </c>
      <c r="E49" s="58">
        <v>180</v>
      </c>
      <c r="F49" s="58">
        <f t="shared" si="1"/>
        <v>7.9499999999999993</v>
      </c>
      <c r="G49" s="58">
        <f t="shared" si="2"/>
        <v>15.899999999999999</v>
      </c>
      <c r="H49" s="58">
        <f t="shared" si="3"/>
        <v>15.899999999999999</v>
      </c>
      <c r="I49" s="58">
        <f t="shared" si="0"/>
        <v>45</v>
      </c>
    </row>
    <row r="50" spans="1:9" x14ac:dyDescent="0.2">
      <c r="A50" s="75">
        <v>31</v>
      </c>
      <c r="B50" s="58" t="s">
        <v>144</v>
      </c>
      <c r="C50" s="58" t="s">
        <v>55</v>
      </c>
      <c r="D50" s="58">
        <v>55</v>
      </c>
      <c r="E50" s="58">
        <v>200</v>
      </c>
      <c r="F50" s="58">
        <f t="shared" si="1"/>
        <v>8.25</v>
      </c>
      <c r="G50" s="58">
        <f t="shared" si="2"/>
        <v>16.5</v>
      </c>
      <c r="H50" s="58">
        <f t="shared" si="3"/>
        <v>16.5</v>
      </c>
      <c r="I50" s="58">
        <f t="shared" si="0"/>
        <v>50</v>
      </c>
    </row>
    <row r="51" spans="1:9" x14ac:dyDescent="0.2">
      <c r="A51" s="75">
        <v>32</v>
      </c>
      <c r="B51" s="58" t="s">
        <v>145</v>
      </c>
      <c r="C51" s="58" t="s">
        <v>55</v>
      </c>
      <c r="D51" s="58">
        <v>50</v>
      </c>
      <c r="E51" s="58">
        <v>160</v>
      </c>
      <c r="F51" s="58">
        <f t="shared" si="1"/>
        <v>7.5</v>
      </c>
      <c r="G51" s="58">
        <f t="shared" si="2"/>
        <v>15</v>
      </c>
      <c r="H51" s="58">
        <f t="shared" si="3"/>
        <v>15</v>
      </c>
      <c r="I51" s="58">
        <f t="shared" si="0"/>
        <v>40</v>
      </c>
    </row>
    <row r="52" spans="1:9" x14ac:dyDescent="0.2">
      <c r="A52" s="75">
        <v>33</v>
      </c>
      <c r="B52" s="58" t="s">
        <v>96</v>
      </c>
      <c r="C52" s="58" t="s">
        <v>55</v>
      </c>
      <c r="D52" s="58">
        <v>48</v>
      </c>
      <c r="E52" s="58">
        <v>160</v>
      </c>
      <c r="F52" s="58">
        <f t="shared" si="1"/>
        <v>7.1999999999999993</v>
      </c>
      <c r="G52" s="58">
        <f t="shared" si="2"/>
        <v>14.399999999999999</v>
      </c>
      <c r="H52" s="58">
        <f t="shared" si="3"/>
        <v>14.399999999999999</v>
      </c>
      <c r="I52" s="58">
        <f t="shared" si="0"/>
        <v>40</v>
      </c>
    </row>
    <row r="53" spans="1:9" x14ac:dyDescent="0.2">
      <c r="A53" s="75">
        <v>34</v>
      </c>
      <c r="B53" s="58" t="s">
        <v>146</v>
      </c>
      <c r="C53" s="58" t="s">
        <v>55</v>
      </c>
      <c r="D53" s="58">
        <v>50</v>
      </c>
      <c r="E53" s="58">
        <v>200</v>
      </c>
      <c r="F53" s="58">
        <f t="shared" si="1"/>
        <v>7.5</v>
      </c>
      <c r="G53" s="58">
        <f t="shared" si="2"/>
        <v>15</v>
      </c>
      <c r="H53" s="58">
        <f t="shared" si="3"/>
        <v>15</v>
      </c>
      <c r="I53" s="58">
        <f t="shared" si="0"/>
        <v>50</v>
      </c>
    </row>
    <row r="54" spans="1:9" x14ac:dyDescent="0.2">
      <c r="A54" s="75">
        <v>35</v>
      </c>
      <c r="B54" s="58" t="s">
        <v>147</v>
      </c>
      <c r="C54" s="58" t="s">
        <v>55</v>
      </c>
      <c r="D54" s="58">
        <v>50</v>
      </c>
      <c r="E54" s="58">
        <v>150</v>
      </c>
      <c r="F54" s="58">
        <f t="shared" si="1"/>
        <v>7.5</v>
      </c>
      <c r="G54" s="58">
        <f t="shared" si="2"/>
        <v>15</v>
      </c>
      <c r="H54" s="58">
        <f t="shared" si="3"/>
        <v>15</v>
      </c>
      <c r="I54" s="58">
        <f t="shared" si="0"/>
        <v>37.5</v>
      </c>
    </row>
    <row r="55" spans="1:9" x14ac:dyDescent="0.2">
      <c r="A55" s="75">
        <v>36</v>
      </c>
      <c r="B55" s="58" t="s">
        <v>97</v>
      </c>
      <c r="C55" s="58" t="s">
        <v>55</v>
      </c>
      <c r="D55" s="58">
        <v>42</v>
      </c>
      <c r="E55" s="58">
        <v>210</v>
      </c>
      <c r="F55" s="58">
        <f t="shared" si="1"/>
        <v>6.3</v>
      </c>
      <c r="G55" s="58">
        <f t="shared" si="2"/>
        <v>12.6</v>
      </c>
      <c r="H55" s="58">
        <f t="shared" si="3"/>
        <v>12.6</v>
      </c>
      <c r="I55" s="58">
        <f t="shared" si="0"/>
        <v>52.5</v>
      </c>
    </row>
    <row r="56" spans="1:9" x14ac:dyDescent="0.2">
      <c r="A56" s="75">
        <v>37</v>
      </c>
      <c r="B56" s="58" t="s">
        <v>98</v>
      </c>
      <c r="C56" s="58" t="s">
        <v>55</v>
      </c>
      <c r="D56" s="58">
        <v>41</v>
      </c>
      <c r="E56" s="58">
        <v>110</v>
      </c>
      <c r="F56" s="58">
        <f t="shared" si="1"/>
        <v>6.1499999999999995</v>
      </c>
      <c r="G56" s="58">
        <f t="shared" si="2"/>
        <v>12.299999999999999</v>
      </c>
      <c r="H56" s="58">
        <f t="shared" si="3"/>
        <v>12.299999999999999</v>
      </c>
      <c r="I56" s="58">
        <f t="shared" si="0"/>
        <v>27.5</v>
      </c>
    </row>
    <row r="57" spans="1:9" x14ac:dyDescent="0.2">
      <c r="A57" s="75">
        <v>38</v>
      </c>
      <c r="B57" s="58" t="s">
        <v>99</v>
      </c>
      <c r="C57" s="58" t="s">
        <v>57</v>
      </c>
      <c r="D57" s="58">
        <v>60</v>
      </c>
      <c r="E57" s="58">
        <v>120</v>
      </c>
      <c r="F57" s="58">
        <f t="shared" si="1"/>
        <v>9</v>
      </c>
      <c r="G57" s="58">
        <f t="shared" si="2"/>
        <v>18</v>
      </c>
      <c r="H57" s="58">
        <f t="shared" si="3"/>
        <v>18</v>
      </c>
      <c r="I57" s="58">
        <f t="shared" si="0"/>
        <v>30</v>
      </c>
    </row>
    <row r="58" spans="1:9" x14ac:dyDescent="0.2">
      <c r="A58" s="75">
        <v>39</v>
      </c>
      <c r="B58" s="58" t="s">
        <v>100</v>
      </c>
      <c r="C58" s="58" t="s">
        <v>55</v>
      </c>
      <c r="D58" s="58">
        <v>41</v>
      </c>
      <c r="E58" s="58">
        <v>95</v>
      </c>
      <c r="F58" s="58">
        <f t="shared" si="1"/>
        <v>6.1499999999999995</v>
      </c>
      <c r="G58" s="58">
        <f t="shared" si="2"/>
        <v>12.299999999999999</v>
      </c>
      <c r="H58" s="58">
        <f t="shared" si="3"/>
        <v>12.299999999999999</v>
      </c>
      <c r="I58" s="58">
        <f t="shared" si="0"/>
        <v>23.75</v>
      </c>
    </row>
    <row r="59" spans="1:9" x14ac:dyDescent="0.2">
      <c r="A59" s="75">
        <v>40</v>
      </c>
      <c r="B59" s="58" t="s">
        <v>148</v>
      </c>
      <c r="C59" s="58" t="s">
        <v>55</v>
      </c>
      <c r="D59" s="58">
        <v>52</v>
      </c>
      <c r="E59" s="58">
        <v>160</v>
      </c>
      <c r="F59" s="58">
        <f t="shared" si="1"/>
        <v>7.8</v>
      </c>
      <c r="G59" s="58">
        <f t="shared" si="2"/>
        <v>15.6</v>
      </c>
      <c r="H59" s="58">
        <f t="shared" si="3"/>
        <v>15.6</v>
      </c>
      <c r="I59" s="58">
        <f t="shared" si="0"/>
        <v>40</v>
      </c>
    </row>
    <row r="60" spans="1:9" x14ac:dyDescent="0.2">
      <c r="A60" s="75">
        <v>41</v>
      </c>
      <c r="B60" s="58" t="s">
        <v>149</v>
      </c>
      <c r="C60" s="58" t="s">
        <v>55</v>
      </c>
      <c r="D60" s="58">
        <v>56</v>
      </c>
      <c r="E60" s="58">
        <v>160</v>
      </c>
      <c r="F60" s="58">
        <f t="shared" si="1"/>
        <v>8.4</v>
      </c>
      <c r="G60" s="58">
        <f t="shared" si="2"/>
        <v>16.8</v>
      </c>
      <c r="H60" s="58">
        <f t="shared" si="3"/>
        <v>16.8</v>
      </c>
      <c r="I60" s="58">
        <f t="shared" si="0"/>
        <v>40</v>
      </c>
    </row>
    <row r="61" spans="1:9" x14ac:dyDescent="0.2">
      <c r="A61" s="75">
        <v>42</v>
      </c>
      <c r="B61" s="58" t="s">
        <v>101</v>
      </c>
      <c r="C61" s="58" t="s">
        <v>55</v>
      </c>
      <c r="D61" s="58">
        <v>70</v>
      </c>
      <c r="E61" s="58">
        <v>200</v>
      </c>
      <c r="F61" s="58">
        <f t="shared" si="1"/>
        <v>10.5</v>
      </c>
      <c r="G61" s="58">
        <f t="shared" si="2"/>
        <v>21</v>
      </c>
      <c r="H61" s="58">
        <f t="shared" si="3"/>
        <v>21</v>
      </c>
      <c r="I61" s="58">
        <f t="shared" si="0"/>
        <v>50</v>
      </c>
    </row>
    <row r="62" spans="1:9" x14ac:dyDescent="0.2">
      <c r="A62" s="75">
        <v>43</v>
      </c>
      <c r="B62" s="58" t="s">
        <v>102</v>
      </c>
      <c r="C62" s="58" t="s">
        <v>103</v>
      </c>
      <c r="D62" s="58">
        <v>7532</v>
      </c>
      <c r="E62" s="58">
        <v>22000</v>
      </c>
      <c r="F62" s="58">
        <f t="shared" si="1"/>
        <v>1129.8</v>
      </c>
      <c r="G62" s="58">
        <f t="shared" si="2"/>
        <v>2259.6</v>
      </c>
      <c r="H62" s="58">
        <f t="shared" si="3"/>
        <v>2259.6</v>
      </c>
      <c r="I62" s="58">
        <f t="shared" si="0"/>
        <v>5500</v>
      </c>
    </row>
    <row r="63" spans="1:9" x14ac:dyDescent="0.2">
      <c r="A63" s="75">
        <v>44</v>
      </c>
      <c r="B63" s="58" t="s">
        <v>104</v>
      </c>
      <c r="C63" s="58" t="s">
        <v>57</v>
      </c>
      <c r="D63" s="58">
        <v>48</v>
      </c>
      <c r="E63" s="58">
        <v>160</v>
      </c>
      <c r="F63" s="58">
        <f t="shared" si="1"/>
        <v>7.1999999999999993</v>
      </c>
      <c r="G63" s="58">
        <f t="shared" si="2"/>
        <v>14.399999999999999</v>
      </c>
      <c r="H63" s="58">
        <f t="shared" si="3"/>
        <v>14.399999999999999</v>
      </c>
      <c r="I63" s="58">
        <f t="shared" si="0"/>
        <v>40</v>
      </c>
    </row>
    <row r="64" spans="1:9" x14ac:dyDescent="0.2">
      <c r="A64" s="75">
        <v>45</v>
      </c>
      <c r="B64" s="58" t="s">
        <v>105</v>
      </c>
      <c r="C64" s="58" t="s">
        <v>55</v>
      </c>
      <c r="D64" s="58">
        <v>50</v>
      </c>
      <c r="E64" s="58">
        <v>130</v>
      </c>
      <c r="F64" s="58">
        <f t="shared" si="1"/>
        <v>7.5</v>
      </c>
      <c r="G64" s="58">
        <f t="shared" si="2"/>
        <v>15</v>
      </c>
      <c r="H64" s="58">
        <f t="shared" si="3"/>
        <v>15</v>
      </c>
      <c r="I64" s="58">
        <f t="shared" si="0"/>
        <v>32.5</v>
      </c>
    </row>
    <row r="65" spans="1:9" x14ac:dyDescent="0.2">
      <c r="A65" s="75">
        <v>46</v>
      </c>
      <c r="B65" s="58" t="s">
        <v>106</v>
      </c>
      <c r="C65" s="58" t="s">
        <v>57</v>
      </c>
      <c r="D65" s="58">
        <v>45</v>
      </c>
      <c r="E65" s="58">
        <v>100</v>
      </c>
      <c r="F65" s="58">
        <f t="shared" si="1"/>
        <v>6.75</v>
      </c>
      <c r="G65" s="58">
        <f t="shared" si="2"/>
        <v>13.5</v>
      </c>
      <c r="H65" s="58">
        <f t="shared" si="3"/>
        <v>13.5</v>
      </c>
      <c r="I65" s="58">
        <f t="shared" si="0"/>
        <v>25</v>
      </c>
    </row>
    <row r="66" spans="1:9" x14ac:dyDescent="0.2">
      <c r="A66" s="75">
        <v>47</v>
      </c>
      <c r="B66" s="58" t="s">
        <v>80</v>
      </c>
      <c r="C66" s="58" t="s">
        <v>81</v>
      </c>
      <c r="D66" s="58">
        <v>71</v>
      </c>
      <c r="E66" s="58">
        <v>190</v>
      </c>
      <c r="F66" s="58">
        <f t="shared" si="1"/>
        <v>10.65</v>
      </c>
      <c r="G66" s="58">
        <f t="shared" si="2"/>
        <v>21.3</v>
      </c>
      <c r="H66" s="58">
        <f t="shared" si="3"/>
        <v>21.3</v>
      </c>
      <c r="I66" s="58">
        <f t="shared" si="0"/>
        <v>47.5</v>
      </c>
    </row>
    <row r="67" spans="1:9" x14ac:dyDescent="0.2">
      <c r="A67" s="75">
        <v>48</v>
      </c>
      <c r="B67" s="58" t="s">
        <v>107</v>
      </c>
      <c r="C67" s="58" t="s">
        <v>55</v>
      </c>
      <c r="D67" s="58">
        <v>41</v>
      </c>
      <c r="E67" s="58">
        <v>200</v>
      </c>
      <c r="F67" s="58">
        <f t="shared" si="1"/>
        <v>6.1499999999999995</v>
      </c>
      <c r="G67" s="58">
        <f t="shared" si="2"/>
        <v>12.299999999999999</v>
      </c>
      <c r="H67" s="58">
        <f t="shared" si="3"/>
        <v>12.299999999999999</v>
      </c>
      <c r="I67" s="58">
        <f t="shared" si="0"/>
        <v>50</v>
      </c>
    </row>
    <row r="68" spans="1:9" x14ac:dyDescent="0.2">
      <c r="A68" s="75">
        <v>49</v>
      </c>
      <c r="B68" s="58" t="s">
        <v>108</v>
      </c>
      <c r="C68" s="58" t="s">
        <v>55</v>
      </c>
      <c r="D68" s="58">
        <v>45</v>
      </c>
      <c r="E68" s="58">
        <v>155</v>
      </c>
      <c r="F68" s="58">
        <f t="shared" si="1"/>
        <v>6.75</v>
      </c>
      <c r="G68" s="58">
        <f t="shared" si="2"/>
        <v>13.5</v>
      </c>
      <c r="H68" s="58">
        <f t="shared" si="3"/>
        <v>13.5</v>
      </c>
      <c r="I68" s="58">
        <f t="shared" si="0"/>
        <v>38.75</v>
      </c>
    </row>
    <row r="69" spans="1:9" x14ac:dyDescent="0.2">
      <c r="A69" s="75">
        <v>50</v>
      </c>
      <c r="B69" s="58" t="s">
        <v>61</v>
      </c>
      <c r="C69" s="58" t="s">
        <v>55</v>
      </c>
      <c r="D69" s="58">
        <v>41</v>
      </c>
      <c r="E69" s="58">
        <v>150</v>
      </c>
      <c r="F69" s="58">
        <f t="shared" si="1"/>
        <v>6.1499999999999995</v>
      </c>
      <c r="G69" s="58">
        <f t="shared" si="2"/>
        <v>12.299999999999999</v>
      </c>
      <c r="H69" s="58">
        <f t="shared" si="3"/>
        <v>12.299999999999999</v>
      </c>
      <c r="I69" s="58">
        <f t="shared" si="0"/>
        <v>37.5</v>
      </c>
    </row>
    <row r="70" spans="1:9" x14ac:dyDescent="0.2">
      <c r="A70" s="75">
        <v>51</v>
      </c>
      <c r="B70" s="58" t="s">
        <v>109</v>
      </c>
      <c r="C70" s="58" t="s">
        <v>57</v>
      </c>
      <c r="D70" s="58">
        <v>41</v>
      </c>
      <c r="E70" s="58">
        <v>150</v>
      </c>
      <c r="F70" s="58">
        <f t="shared" si="1"/>
        <v>6.1499999999999995</v>
      </c>
      <c r="G70" s="58">
        <f t="shared" si="2"/>
        <v>12.299999999999999</v>
      </c>
      <c r="H70" s="58">
        <f t="shared" si="3"/>
        <v>12.299999999999999</v>
      </c>
      <c r="I70" s="58">
        <f t="shared" si="0"/>
        <v>37.5</v>
      </c>
    </row>
    <row r="71" spans="1:9" x14ac:dyDescent="0.2">
      <c r="A71" s="75">
        <v>52</v>
      </c>
      <c r="B71" s="58" t="s">
        <v>76</v>
      </c>
      <c r="C71" s="58" t="s">
        <v>57</v>
      </c>
      <c r="D71" s="58">
        <v>49</v>
      </c>
      <c r="E71" s="58">
        <v>120</v>
      </c>
      <c r="F71" s="58">
        <f t="shared" si="1"/>
        <v>7.35</v>
      </c>
      <c r="G71" s="58">
        <f t="shared" si="2"/>
        <v>14.7</v>
      </c>
      <c r="H71" s="58">
        <f t="shared" si="3"/>
        <v>14.7</v>
      </c>
      <c r="I71" s="58">
        <f t="shared" si="0"/>
        <v>30</v>
      </c>
    </row>
    <row r="72" spans="1:9" x14ac:dyDescent="0.2">
      <c r="A72" s="75">
        <v>53</v>
      </c>
      <c r="B72" s="58" t="s">
        <v>62</v>
      </c>
      <c r="C72" s="58" t="s">
        <v>57</v>
      </c>
      <c r="D72" s="58">
        <v>66</v>
      </c>
      <c r="E72" s="58">
        <v>220</v>
      </c>
      <c r="F72" s="58">
        <f t="shared" si="1"/>
        <v>9.9</v>
      </c>
      <c r="G72" s="58">
        <f t="shared" si="2"/>
        <v>19.8</v>
      </c>
      <c r="H72" s="58">
        <f t="shared" si="3"/>
        <v>19.8</v>
      </c>
      <c r="I72" s="58">
        <f t="shared" si="0"/>
        <v>55</v>
      </c>
    </row>
    <row r="73" spans="1:9" x14ac:dyDescent="0.2">
      <c r="A73" s="75">
        <v>54</v>
      </c>
      <c r="B73" s="58" t="s">
        <v>110</v>
      </c>
      <c r="C73" s="58" t="s">
        <v>55</v>
      </c>
      <c r="D73" s="58">
        <v>46</v>
      </c>
      <c r="E73" s="58">
        <v>170</v>
      </c>
      <c r="F73" s="58">
        <f t="shared" si="1"/>
        <v>6.8999999999999995</v>
      </c>
      <c r="G73" s="58">
        <f t="shared" si="2"/>
        <v>13.799999999999999</v>
      </c>
      <c r="H73" s="58">
        <f t="shared" si="3"/>
        <v>13.799999999999999</v>
      </c>
      <c r="I73" s="58">
        <f t="shared" si="0"/>
        <v>42.5</v>
      </c>
    </row>
    <row r="74" spans="1:9" x14ac:dyDescent="0.2">
      <c r="A74" s="75">
        <v>55</v>
      </c>
      <c r="B74" s="58" t="s">
        <v>111</v>
      </c>
      <c r="C74" s="58" t="s">
        <v>55</v>
      </c>
      <c r="D74" s="58">
        <v>48</v>
      </c>
      <c r="E74" s="58">
        <v>170</v>
      </c>
      <c r="F74" s="58">
        <f t="shared" si="1"/>
        <v>7.1999999999999993</v>
      </c>
      <c r="G74" s="58">
        <f t="shared" si="2"/>
        <v>14.399999999999999</v>
      </c>
      <c r="H74" s="58">
        <f t="shared" si="3"/>
        <v>14.399999999999999</v>
      </c>
      <c r="I74" s="58">
        <f t="shared" si="0"/>
        <v>42.5</v>
      </c>
    </row>
    <row r="75" spans="1:9" x14ac:dyDescent="0.2">
      <c r="A75" s="75">
        <v>56</v>
      </c>
      <c r="B75" s="58" t="s">
        <v>82</v>
      </c>
      <c r="C75" s="58" t="s">
        <v>57</v>
      </c>
      <c r="D75" s="58">
        <v>50</v>
      </c>
      <c r="E75" s="58">
        <v>140</v>
      </c>
      <c r="F75" s="58">
        <f t="shared" si="1"/>
        <v>7.5</v>
      </c>
      <c r="G75" s="58">
        <f t="shared" si="2"/>
        <v>15</v>
      </c>
      <c r="H75" s="58">
        <f t="shared" si="3"/>
        <v>15</v>
      </c>
      <c r="I75" s="58">
        <f t="shared" si="0"/>
        <v>35</v>
      </c>
    </row>
    <row r="76" spans="1:9" x14ac:dyDescent="0.2">
      <c r="A76" s="75">
        <v>57</v>
      </c>
      <c r="B76" s="58" t="s">
        <v>83</v>
      </c>
      <c r="C76" s="58" t="s">
        <v>55</v>
      </c>
      <c r="D76" s="58">
        <v>50</v>
      </c>
      <c r="E76" s="58">
        <v>140</v>
      </c>
      <c r="F76" s="58">
        <f t="shared" si="1"/>
        <v>7.5</v>
      </c>
      <c r="G76" s="58">
        <f t="shared" si="2"/>
        <v>15</v>
      </c>
      <c r="H76" s="58">
        <f t="shared" si="3"/>
        <v>15</v>
      </c>
      <c r="I76" s="58">
        <f t="shared" si="0"/>
        <v>35</v>
      </c>
    </row>
    <row r="77" spans="1:9" x14ac:dyDescent="0.2">
      <c r="A77" s="75">
        <v>58</v>
      </c>
      <c r="B77" s="58" t="s">
        <v>112</v>
      </c>
      <c r="C77" s="58" t="s">
        <v>55</v>
      </c>
      <c r="D77" s="58">
        <v>39</v>
      </c>
      <c r="E77" s="58">
        <v>200</v>
      </c>
      <c r="F77" s="58">
        <f t="shared" si="1"/>
        <v>5.85</v>
      </c>
      <c r="G77" s="58">
        <f t="shared" si="2"/>
        <v>11.7</v>
      </c>
      <c r="H77" s="58">
        <f t="shared" si="3"/>
        <v>11.7</v>
      </c>
      <c r="I77" s="58">
        <f t="shared" si="0"/>
        <v>50</v>
      </c>
    </row>
    <row r="78" spans="1:9" x14ac:dyDescent="0.2">
      <c r="A78" s="75">
        <v>59</v>
      </c>
      <c r="B78" s="58" t="s">
        <v>113</v>
      </c>
      <c r="C78" s="58" t="s">
        <v>57</v>
      </c>
      <c r="D78" s="58">
        <v>54</v>
      </c>
      <c r="E78" s="58">
        <v>100</v>
      </c>
      <c r="F78" s="58">
        <f t="shared" si="1"/>
        <v>8.1</v>
      </c>
      <c r="G78" s="58">
        <f t="shared" si="2"/>
        <v>16.2</v>
      </c>
      <c r="H78" s="58">
        <f t="shared" si="3"/>
        <v>16.2</v>
      </c>
      <c r="I78" s="58">
        <f t="shared" si="0"/>
        <v>25</v>
      </c>
    </row>
    <row r="79" spans="1:9" x14ac:dyDescent="0.2">
      <c r="A79" s="75">
        <v>60</v>
      </c>
      <c r="B79" s="58" t="s">
        <v>114</v>
      </c>
      <c r="C79" s="58" t="s">
        <v>57</v>
      </c>
      <c r="D79" s="58">
        <v>57</v>
      </c>
      <c r="E79" s="58">
        <v>150</v>
      </c>
      <c r="F79" s="58">
        <f t="shared" si="1"/>
        <v>8.5499999999999989</v>
      </c>
      <c r="G79" s="58">
        <f t="shared" si="2"/>
        <v>17.099999999999998</v>
      </c>
      <c r="H79" s="58">
        <f t="shared" si="3"/>
        <v>17.099999999999998</v>
      </c>
      <c r="I79" s="58">
        <f t="shared" si="0"/>
        <v>37.5</v>
      </c>
    </row>
    <row r="80" spans="1:9" x14ac:dyDescent="0.2">
      <c r="A80" s="75">
        <v>61</v>
      </c>
      <c r="B80" s="58" t="s">
        <v>63</v>
      </c>
      <c r="C80" s="58" t="s">
        <v>55</v>
      </c>
      <c r="D80" s="58">
        <v>52</v>
      </c>
      <c r="E80" s="58">
        <v>100</v>
      </c>
      <c r="F80" s="58">
        <f t="shared" si="1"/>
        <v>7.8</v>
      </c>
      <c r="G80" s="58">
        <f t="shared" si="2"/>
        <v>15.6</v>
      </c>
      <c r="H80" s="58">
        <f t="shared" si="3"/>
        <v>15.6</v>
      </c>
      <c r="I80" s="58">
        <f t="shared" si="0"/>
        <v>25</v>
      </c>
    </row>
    <row r="81" spans="1:9" x14ac:dyDescent="0.2">
      <c r="A81" s="75">
        <v>62</v>
      </c>
      <c r="B81" s="58" t="s">
        <v>150</v>
      </c>
      <c r="C81" s="58" t="s">
        <v>151</v>
      </c>
      <c r="D81" s="58">
        <v>88</v>
      </c>
      <c r="E81" s="58">
        <v>220</v>
      </c>
      <c r="F81" s="58">
        <f t="shared" si="1"/>
        <v>13.2</v>
      </c>
      <c r="G81" s="58">
        <f t="shared" si="2"/>
        <v>26.4</v>
      </c>
      <c r="H81" s="58">
        <f t="shared" si="3"/>
        <v>26.4</v>
      </c>
      <c r="I81" s="58">
        <f t="shared" si="0"/>
        <v>55</v>
      </c>
    </row>
    <row r="82" spans="1:9" x14ac:dyDescent="0.2">
      <c r="A82" s="75">
        <v>63</v>
      </c>
      <c r="B82" s="58" t="s">
        <v>152</v>
      </c>
      <c r="C82" s="58" t="s">
        <v>55</v>
      </c>
      <c r="D82" s="58">
        <v>45</v>
      </c>
      <c r="E82" s="58">
        <v>150</v>
      </c>
      <c r="F82" s="58">
        <f t="shared" si="1"/>
        <v>6.75</v>
      </c>
      <c r="G82" s="58">
        <f t="shared" si="2"/>
        <v>13.5</v>
      </c>
      <c r="H82" s="58">
        <f t="shared" si="3"/>
        <v>13.5</v>
      </c>
      <c r="I82" s="58">
        <f t="shared" si="0"/>
        <v>37.5</v>
      </c>
    </row>
    <row r="83" spans="1:9" x14ac:dyDescent="0.2">
      <c r="A83" s="75">
        <v>64</v>
      </c>
      <c r="B83" s="58" t="s">
        <v>153</v>
      </c>
      <c r="C83" s="58" t="s">
        <v>55</v>
      </c>
      <c r="D83" s="58">
        <v>55</v>
      </c>
      <c r="E83" s="58">
        <v>200</v>
      </c>
      <c r="F83" s="58">
        <f t="shared" si="1"/>
        <v>8.25</v>
      </c>
      <c r="G83" s="58">
        <f t="shared" si="2"/>
        <v>16.5</v>
      </c>
      <c r="H83" s="58">
        <f t="shared" si="3"/>
        <v>16.5</v>
      </c>
      <c r="I83" s="58">
        <f t="shared" si="0"/>
        <v>50</v>
      </c>
    </row>
    <row r="84" spans="1:9" x14ac:dyDescent="0.2">
      <c r="A84" s="75">
        <v>65</v>
      </c>
      <c r="B84" s="58" t="s">
        <v>154</v>
      </c>
      <c r="C84" s="58" t="s">
        <v>55</v>
      </c>
      <c r="D84" s="58">
        <v>57</v>
      </c>
      <c r="E84" s="58">
        <v>132</v>
      </c>
      <c r="F84" s="58">
        <f t="shared" si="1"/>
        <v>8.5499999999999989</v>
      </c>
      <c r="G84" s="58">
        <f t="shared" si="2"/>
        <v>17.099999999999998</v>
      </c>
      <c r="H84" s="58">
        <f t="shared" si="3"/>
        <v>17.099999999999998</v>
      </c>
      <c r="I84" s="58">
        <f t="shared" si="0"/>
        <v>33</v>
      </c>
    </row>
    <row r="85" spans="1:9" ht="25.5" x14ac:dyDescent="0.2">
      <c r="A85" s="75">
        <v>66</v>
      </c>
      <c r="B85" s="58" t="s">
        <v>155</v>
      </c>
      <c r="C85" s="58" t="s">
        <v>55</v>
      </c>
      <c r="D85" s="58">
        <v>43</v>
      </c>
      <c r="E85" s="58">
        <v>138</v>
      </c>
      <c r="F85" s="58">
        <f t="shared" si="1"/>
        <v>6.45</v>
      </c>
      <c r="G85" s="58">
        <f t="shared" si="2"/>
        <v>12.9</v>
      </c>
      <c r="H85" s="58">
        <f t="shared" si="3"/>
        <v>12.9</v>
      </c>
      <c r="I85" s="58">
        <f t="shared" ref="I85:I134" si="4">E85*25%</f>
        <v>34.5</v>
      </c>
    </row>
    <row r="86" spans="1:9" x14ac:dyDescent="0.2">
      <c r="A86" s="75">
        <v>67</v>
      </c>
      <c r="B86" s="58" t="s">
        <v>115</v>
      </c>
      <c r="C86" s="58" t="s">
        <v>55</v>
      </c>
      <c r="D86" s="58">
        <v>41</v>
      </c>
      <c r="E86" s="58">
        <v>140</v>
      </c>
      <c r="F86" s="58">
        <f t="shared" si="1"/>
        <v>6.1499999999999995</v>
      </c>
      <c r="G86" s="58">
        <f t="shared" si="2"/>
        <v>12.299999999999999</v>
      </c>
      <c r="H86" s="58">
        <f t="shared" si="3"/>
        <v>12.299999999999999</v>
      </c>
      <c r="I86" s="58">
        <f t="shared" si="4"/>
        <v>35</v>
      </c>
    </row>
    <row r="87" spans="1:9" x14ac:dyDescent="0.2">
      <c r="A87" s="75">
        <v>68</v>
      </c>
      <c r="B87" s="58" t="s">
        <v>156</v>
      </c>
      <c r="C87" s="58" t="s">
        <v>55</v>
      </c>
      <c r="D87" s="58">
        <v>43</v>
      </c>
      <c r="E87" s="58">
        <v>180</v>
      </c>
      <c r="F87" s="58">
        <f t="shared" ref="F87:F126" si="5">D87*15%</f>
        <v>6.45</v>
      </c>
      <c r="G87" s="58">
        <f t="shared" ref="G87:G126" si="6">D87*30%</f>
        <v>12.9</v>
      </c>
      <c r="H87" s="58">
        <f t="shared" ref="H87:H126" si="7">D87*30%</f>
        <v>12.9</v>
      </c>
      <c r="I87" s="58">
        <f t="shared" si="4"/>
        <v>45</v>
      </c>
    </row>
    <row r="88" spans="1:9" x14ac:dyDescent="0.2">
      <c r="A88" s="75">
        <v>69</v>
      </c>
      <c r="B88" s="58" t="s">
        <v>64</v>
      </c>
      <c r="C88" s="58" t="s">
        <v>55</v>
      </c>
      <c r="D88" s="58">
        <v>41</v>
      </c>
      <c r="E88" s="58">
        <v>130</v>
      </c>
      <c r="F88" s="58">
        <f t="shared" si="5"/>
        <v>6.1499999999999995</v>
      </c>
      <c r="G88" s="58">
        <f t="shared" si="6"/>
        <v>12.299999999999999</v>
      </c>
      <c r="H88" s="58">
        <f t="shared" si="7"/>
        <v>12.299999999999999</v>
      </c>
      <c r="I88" s="58">
        <f t="shared" si="4"/>
        <v>32.5</v>
      </c>
    </row>
    <row r="89" spans="1:9" x14ac:dyDescent="0.2">
      <c r="A89" s="75">
        <v>70</v>
      </c>
      <c r="B89" s="58" t="s">
        <v>84</v>
      </c>
      <c r="C89" s="58" t="s">
        <v>57</v>
      </c>
      <c r="D89" s="58">
        <v>58</v>
      </c>
      <c r="E89" s="58">
        <v>154</v>
      </c>
      <c r="F89" s="58">
        <f t="shared" si="5"/>
        <v>8.6999999999999993</v>
      </c>
      <c r="G89" s="58">
        <f t="shared" si="6"/>
        <v>17.399999999999999</v>
      </c>
      <c r="H89" s="58">
        <f t="shared" si="7"/>
        <v>17.399999999999999</v>
      </c>
      <c r="I89" s="58">
        <f t="shared" si="4"/>
        <v>38.5</v>
      </c>
    </row>
    <row r="90" spans="1:9" x14ac:dyDescent="0.2">
      <c r="A90" s="75">
        <v>71</v>
      </c>
      <c r="B90" s="58" t="s">
        <v>157</v>
      </c>
      <c r="C90" s="58" t="s">
        <v>55</v>
      </c>
      <c r="D90" s="58">
        <v>45</v>
      </c>
      <c r="E90" s="58">
        <v>94</v>
      </c>
      <c r="F90" s="58">
        <f t="shared" si="5"/>
        <v>6.75</v>
      </c>
      <c r="G90" s="58">
        <f t="shared" si="6"/>
        <v>13.5</v>
      </c>
      <c r="H90" s="58">
        <f t="shared" si="7"/>
        <v>13.5</v>
      </c>
      <c r="I90" s="58">
        <f t="shared" si="4"/>
        <v>23.5</v>
      </c>
    </row>
    <row r="91" spans="1:9" x14ac:dyDescent="0.2">
      <c r="A91" s="75">
        <v>72</v>
      </c>
      <c r="B91" s="58" t="s">
        <v>158</v>
      </c>
      <c r="C91" s="58" t="s">
        <v>55</v>
      </c>
      <c r="D91" s="58">
        <v>55</v>
      </c>
      <c r="E91" s="58">
        <v>200</v>
      </c>
      <c r="F91" s="58">
        <f t="shared" si="5"/>
        <v>8.25</v>
      </c>
      <c r="G91" s="58">
        <f t="shared" si="6"/>
        <v>16.5</v>
      </c>
      <c r="H91" s="58">
        <f t="shared" si="7"/>
        <v>16.5</v>
      </c>
      <c r="I91" s="58">
        <f t="shared" si="4"/>
        <v>50</v>
      </c>
    </row>
    <row r="92" spans="1:9" x14ac:dyDescent="0.2">
      <c r="A92" s="75">
        <v>73</v>
      </c>
      <c r="B92" s="58" t="s">
        <v>116</v>
      </c>
      <c r="C92" s="58" t="s">
        <v>55</v>
      </c>
      <c r="D92" s="58">
        <v>45</v>
      </c>
      <c r="E92" s="58">
        <v>154</v>
      </c>
      <c r="F92" s="58">
        <f t="shared" si="5"/>
        <v>6.75</v>
      </c>
      <c r="G92" s="58">
        <f t="shared" si="6"/>
        <v>13.5</v>
      </c>
      <c r="H92" s="58">
        <f t="shared" si="7"/>
        <v>13.5</v>
      </c>
      <c r="I92" s="58">
        <f t="shared" si="4"/>
        <v>38.5</v>
      </c>
    </row>
    <row r="93" spans="1:9" x14ac:dyDescent="0.2">
      <c r="A93" s="75">
        <v>74</v>
      </c>
      <c r="B93" s="58" t="s">
        <v>159</v>
      </c>
      <c r="C93" s="58" t="s">
        <v>55</v>
      </c>
      <c r="D93" s="58">
        <v>49</v>
      </c>
      <c r="E93" s="58">
        <v>170</v>
      </c>
      <c r="F93" s="58">
        <f t="shared" si="5"/>
        <v>7.35</v>
      </c>
      <c r="G93" s="58">
        <f t="shared" si="6"/>
        <v>14.7</v>
      </c>
      <c r="H93" s="58">
        <f t="shared" si="7"/>
        <v>14.7</v>
      </c>
      <c r="I93" s="58">
        <f t="shared" si="4"/>
        <v>42.5</v>
      </c>
    </row>
    <row r="94" spans="1:9" x14ac:dyDescent="0.2">
      <c r="A94" s="75">
        <v>75</v>
      </c>
      <c r="B94" s="58" t="s">
        <v>65</v>
      </c>
      <c r="C94" s="58" t="s">
        <v>55</v>
      </c>
      <c r="D94" s="58">
        <v>46</v>
      </c>
      <c r="E94" s="58">
        <v>240</v>
      </c>
      <c r="F94" s="58">
        <f t="shared" si="5"/>
        <v>6.8999999999999995</v>
      </c>
      <c r="G94" s="58">
        <f t="shared" si="6"/>
        <v>13.799999999999999</v>
      </c>
      <c r="H94" s="58">
        <f t="shared" si="7"/>
        <v>13.799999999999999</v>
      </c>
      <c r="I94" s="58">
        <f t="shared" si="4"/>
        <v>60</v>
      </c>
    </row>
    <row r="95" spans="1:9" x14ac:dyDescent="0.2">
      <c r="A95" s="75">
        <v>76</v>
      </c>
      <c r="B95" s="58" t="s">
        <v>160</v>
      </c>
      <c r="C95" s="58" t="s">
        <v>161</v>
      </c>
      <c r="D95" s="58">
        <v>496</v>
      </c>
      <c r="E95" s="58">
        <v>1650</v>
      </c>
      <c r="F95" s="58">
        <f t="shared" si="5"/>
        <v>74.399999999999991</v>
      </c>
      <c r="G95" s="58">
        <f t="shared" si="6"/>
        <v>148.79999999999998</v>
      </c>
      <c r="H95" s="58">
        <f t="shared" si="7"/>
        <v>148.79999999999998</v>
      </c>
      <c r="I95" s="58">
        <f t="shared" si="4"/>
        <v>412.5</v>
      </c>
    </row>
    <row r="96" spans="1:9" x14ac:dyDescent="0.2">
      <c r="A96" s="75">
        <v>77</v>
      </c>
      <c r="B96" s="58" t="s">
        <v>88</v>
      </c>
      <c r="C96" s="58" t="s">
        <v>57</v>
      </c>
      <c r="D96" s="58">
        <v>58</v>
      </c>
      <c r="E96" s="58">
        <v>180</v>
      </c>
      <c r="F96" s="58">
        <f t="shared" si="5"/>
        <v>8.6999999999999993</v>
      </c>
      <c r="G96" s="58">
        <f t="shared" si="6"/>
        <v>17.399999999999999</v>
      </c>
      <c r="H96" s="58">
        <f t="shared" si="7"/>
        <v>17.399999999999999</v>
      </c>
      <c r="I96" s="58">
        <f t="shared" si="4"/>
        <v>45</v>
      </c>
    </row>
    <row r="97" spans="1:9" x14ac:dyDescent="0.2">
      <c r="A97" s="75">
        <v>78</v>
      </c>
      <c r="B97" s="58" t="s">
        <v>117</v>
      </c>
      <c r="C97" s="58" t="s">
        <v>55</v>
      </c>
      <c r="D97" s="58">
        <v>40</v>
      </c>
      <c r="E97" s="58">
        <v>240</v>
      </c>
      <c r="F97" s="58">
        <f t="shared" si="5"/>
        <v>6</v>
      </c>
      <c r="G97" s="58">
        <f t="shared" si="6"/>
        <v>12</v>
      </c>
      <c r="H97" s="58">
        <f t="shared" si="7"/>
        <v>12</v>
      </c>
      <c r="I97" s="58">
        <f t="shared" si="4"/>
        <v>60</v>
      </c>
    </row>
    <row r="98" spans="1:9" x14ac:dyDescent="0.2">
      <c r="A98" s="75">
        <v>79</v>
      </c>
      <c r="B98" s="58" t="s">
        <v>118</v>
      </c>
      <c r="C98" s="58" t="s">
        <v>55</v>
      </c>
      <c r="D98" s="58">
        <v>38</v>
      </c>
      <c r="E98" s="58">
        <v>200</v>
      </c>
      <c r="F98" s="58">
        <f t="shared" si="5"/>
        <v>5.7</v>
      </c>
      <c r="G98" s="58">
        <f t="shared" si="6"/>
        <v>11.4</v>
      </c>
      <c r="H98" s="58">
        <f t="shared" si="7"/>
        <v>11.4</v>
      </c>
      <c r="I98" s="58">
        <f t="shared" si="4"/>
        <v>50</v>
      </c>
    </row>
    <row r="99" spans="1:9" x14ac:dyDescent="0.2">
      <c r="A99" s="75">
        <v>80</v>
      </c>
      <c r="B99" s="58" t="s">
        <v>119</v>
      </c>
      <c r="C99" s="58" t="s">
        <v>55</v>
      </c>
      <c r="D99" s="58">
        <v>70</v>
      </c>
      <c r="E99" s="58">
        <v>200</v>
      </c>
      <c r="F99" s="58">
        <f t="shared" si="5"/>
        <v>10.5</v>
      </c>
      <c r="G99" s="58">
        <f t="shared" si="6"/>
        <v>21</v>
      </c>
      <c r="H99" s="58">
        <f t="shared" si="7"/>
        <v>21</v>
      </c>
      <c r="I99" s="58">
        <f t="shared" si="4"/>
        <v>50</v>
      </c>
    </row>
    <row r="100" spans="1:9" x14ac:dyDescent="0.2">
      <c r="A100" s="75">
        <v>81</v>
      </c>
      <c r="B100" s="58" t="s">
        <v>85</v>
      </c>
      <c r="C100" s="58" t="s">
        <v>57</v>
      </c>
      <c r="D100" s="58">
        <v>52</v>
      </c>
      <c r="E100" s="58">
        <v>140</v>
      </c>
      <c r="F100" s="58">
        <f t="shared" si="5"/>
        <v>7.8</v>
      </c>
      <c r="G100" s="58">
        <f t="shared" si="6"/>
        <v>15.6</v>
      </c>
      <c r="H100" s="58">
        <f t="shared" si="7"/>
        <v>15.6</v>
      </c>
      <c r="I100" s="58">
        <f t="shared" si="4"/>
        <v>35</v>
      </c>
    </row>
    <row r="101" spans="1:9" x14ac:dyDescent="0.2">
      <c r="A101" s="75">
        <v>82</v>
      </c>
      <c r="B101" s="58" t="s">
        <v>77</v>
      </c>
      <c r="C101" s="58" t="s">
        <v>57</v>
      </c>
      <c r="D101" s="58">
        <v>50</v>
      </c>
      <c r="E101" s="58">
        <v>150</v>
      </c>
      <c r="F101" s="58">
        <f t="shared" si="5"/>
        <v>7.5</v>
      </c>
      <c r="G101" s="58">
        <f t="shared" si="6"/>
        <v>15</v>
      </c>
      <c r="H101" s="58">
        <f t="shared" si="7"/>
        <v>15</v>
      </c>
      <c r="I101" s="58">
        <f t="shared" si="4"/>
        <v>37.5</v>
      </c>
    </row>
    <row r="102" spans="1:9" ht="25.5" x14ac:dyDescent="0.2">
      <c r="A102" s="75">
        <v>83</v>
      </c>
      <c r="B102" s="58" t="s">
        <v>66</v>
      </c>
      <c r="C102" s="58" t="s">
        <v>57</v>
      </c>
      <c r="D102" s="58">
        <v>52</v>
      </c>
      <c r="E102" s="58">
        <v>275</v>
      </c>
      <c r="F102" s="58">
        <f t="shared" si="5"/>
        <v>7.8</v>
      </c>
      <c r="G102" s="58">
        <f t="shared" si="6"/>
        <v>15.6</v>
      </c>
      <c r="H102" s="58">
        <f t="shared" si="7"/>
        <v>15.6</v>
      </c>
      <c r="I102" s="58">
        <f t="shared" si="4"/>
        <v>68.75</v>
      </c>
    </row>
    <row r="103" spans="1:9" x14ac:dyDescent="0.2">
      <c r="A103" s="75">
        <v>84</v>
      </c>
      <c r="B103" s="58" t="s">
        <v>162</v>
      </c>
      <c r="C103" s="58" t="s">
        <v>55</v>
      </c>
      <c r="D103" s="58">
        <v>49</v>
      </c>
      <c r="E103" s="58">
        <v>150</v>
      </c>
      <c r="F103" s="58">
        <f t="shared" si="5"/>
        <v>7.35</v>
      </c>
      <c r="G103" s="58">
        <f t="shared" si="6"/>
        <v>14.7</v>
      </c>
      <c r="H103" s="58">
        <f t="shared" si="7"/>
        <v>14.7</v>
      </c>
      <c r="I103" s="58">
        <f t="shared" si="4"/>
        <v>37.5</v>
      </c>
    </row>
    <row r="104" spans="1:9" x14ac:dyDescent="0.2">
      <c r="A104" s="75">
        <v>85</v>
      </c>
      <c r="B104" s="58" t="s">
        <v>120</v>
      </c>
      <c r="C104" s="58" t="s">
        <v>55</v>
      </c>
      <c r="D104" s="58">
        <v>48</v>
      </c>
      <c r="E104" s="58">
        <v>200</v>
      </c>
      <c r="F104" s="58">
        <f t="shared" si="5"/>
        <v>7.1999999999999993</v>
      </c>
      <c r="G104" s="58">
        <f t="shared" si="6"/>
        <v>14.399999999999999</v>
      </c>
      <c r="H104" s="58">
        <f t="shared" si="7"/>
        <v>14.399999999999999</v>
      </c>
      <c r="I104" s="58">
        <f t="shared" si="4"/>
        <v>50</v>
      </c>
    </row>
    <row r="105" spans="1:9" x14ac:dyDescent="0.2">
      <c r="A105" s="75">
        <v>86</v>
      </c>
      <c r="B105" s="58" t="s">
        <v>163</v>
      </c>
      <c r="C105" s="58" t="s">
        <v>55</v>
      </c>
      <c r="D105" s="58">
        <v>42</v>
      </c>
      <c r="E105" s="58">
        <v>110</v>
      </c>
      <c r="F105" s="58">
        <f t="shared" si="5"/>
        <v>6.3</v>
      </c>
      <c r="G105" s="58">
        <f t="shared" si="6"/>
        <v>12.6</v>
      </c>
      <c r="H105" s="58">
        <f t="shared" si="7"/>
        <v>12.6</v>
      </c>
      <c r="I105" s="58">
        <f t="shared" si="4"/>
        <v>27.5</v>
      </c>
    </row>
    <row r="106" spans="1:9" x14ac:dyDescent="0.2">
      <c r="A106" s="75">
        <v>87</v>
      </c>
      <c r="B106" s="58" t="s">
        <v>164</v>
      </c>
      <c r="C106" s="58" t="s">
        <v>55</v>
      </c>
      <c r="D106" s="58">
        <v>53</v>
      </c>
      <c r="E106" s="58">
        <v>192</v>
      </c>
      <c r="F106" s="58">
        <f t="shared" si="5"/>
        <v>7.9499999999999993</v>
      </c>
      <c r="G106" s="58">
        <f t="shared" si="6"/>
        <v>15.899999999999999</v>
      </c>
      <c r="H106" s="58">
        <f t="shared" si="7"/>
        <v>15.899999999999999</v>
      </c>
      <c r="I106" s="58">
        <f t="shared" si="4"/>
        <v>48</v>
      </c>
    </row>
    <row r="107" spans="1:9" x14ac:dyDescent="0.2">
      <c r="A107" s="75">
        <v>88</v>
      </c>
      <c r="B107" s="58" t="s">
        <v>67</v>
      </c>
      <c r="C107" s="58" t="s">
        <v>55</v>
      </c>
      <c r="D107" s="58">
        <v>44</v>
      </c>
      <c r="E107" s="58">
        <v>120</v>
      </c>
      <c r="F107" s="58">
        <f t="shared" si="5"/>
        <v>6.6</v>
      </c>
      <c r="G107" s="58">
        <f t="shared" si="6"/>
        <v>13.2</v>
      </c>
      <c r="H107" s="58">
        <f t="shared" si="7"/>
        <v>13.2</v>
      </c>
      <c r="I107" s="58">
        <f t="shared" si="4"/>
        <v>30</v>
      </c>
    </row>
    <row r="108" spans="1:9" x14ac:dyDescent="0.2">
      <c r="A108" s="75">
        <v>89</v>
      </c>
      <c r="B108" s="58" t="s">
        <v>165</v>
      </c>
      <c r="C108" s="58" t="s">
        <v>55</v>
      </c>
      <c r="D108" s="58">
        <v>40</v>
      </c>
      <c r="E108" s="58">
        <v>110</v>
      </c>
      <c r="F108" s="58">
        <f t="shared" si="5"/>
        <v>6</v>
      </c>
      <c r="G108" s="58">
        <f t="shared" si="6"/>
        <v>12</v>
      </c>
      <c r="H108" s="58">
        <f t="shared" si="7"/>
        <v>12</v>
      </c>
      <c r="I108" s="58">
        <f t="shared" si="4"/>
        <v>27.5</v>
      </c>
    </row>
    <row r="109" spans="1:9" x14ac:dyDescent="0.2">
      <c r="A109" s="75">
        <v>90</v>
      </c>
      <c r="B109" s="58" t="s">
        <v>121</v>
      </c>
      <c r="C109" s="58" t="s">
        <v>57</v>
      </c>
      <c r="D109" s="58">
        <v>56</v>
      </c>
      <c r="E109" s="58">
        <v>230</v>
      </c>
      <c r="F109" s="58">
        <f t="shared" si="5"/>
        <v>8.4</v>
      </c>
      <c r="G109" s="58">
        <f t="shared" si="6"/>
        <v>16.8</v>
      </c>
      <c r="H109" s="58">
        <f t="shared" si="7"/>
        <v>16.8</v>
      </c>
      <c r="I109" s="58">
        <f t="shared" si="4"/>
        <v>57.5</v>
      </c>
    </row>
    <row r="110" spans="1:9" x14ac:dyDescent="0.2">
      <c r="A110" s="75">
        <v>91</v>
      </c>
      <c r="B110" s="58" t="s">
        <v>166</v>
      </c>
      <c r="C110" s="58" t="s">
        <v>55</v>
      </c>
      <c r="D110" s="58">
        <v>47</v>
      </c>
      <c r="E110" s="58">
        <v>132</v>
      </c>
      <c r="F110" s="58">
        <f t="shared" si="5"/>
        <v>7.05</v>
      </c>
      <c r="G110" s="58">
        <f t="shared" si="6"/>
        <v>14.1</v>
      </c>
      <c r="H110" s="58">
        <f t="shared" si="7"/>
        <v>14.1</v>
      </c>
      <c r="I110" s="58">
        <f t="shared" si="4"/>
        <v>33</v>
      </c>
    </row>
    <row r="111" spans="1:9" x14ac:dyDescent="0.2">
      <c r="A111" s="75">
        <v>92</v>
      </c>
      <c r="B111" s="58" t="s">
        <v>167</v>
      </c>
      <c r="C111" s="58" t="s">
        <v>55</v>
      </c>
      <c r="D111" s="58">
        <v>45</v>
      </c>
      <c r="E111" s="58">
        <v>143</v>
      </c>
      <c r="F111" s="58">
        <f t="shared" si="5"/>
        <v>6.75</v>
      </c>
      <c r="G111" s="58">
        <f t="shared" si="6"/>
        <v>13.5</v>
      </c>
      <c r="H111" s="58">
        <f t="shared" si="7"/>
        <v>13.5</v>
      </c>
      <c r="I111" s="58">
        <f t="shared" si="4"/>
        <v>35.75</v>
      </c>
    </row>
    <row r="112" spans="1:9" ht="63.75" x14ac:dyDescent="0.2">
      <c r="A112" s="75">
        <v>93</v>
      </c>
      <c r="B112" s="58" t="s">
        <v>211</v>
      </c>
      <c r="C112" s="58" t="s">
        <v>57</v>
      </c>
      <c r="D112" s="58">
        <v>59</v>
      </c>
      <c r="E112" s="58">
        <v>200</v>
      </c>
      <c r="F112" s="58">
        <f t="shared" si="5"/>
        <v>8.85</v>
      </c>
      <c r="G112" s="58">
        <f t="shared" si="6"/>
        <v>17.7</v>
      </c>
      <c r="H112" s="58">
        <f t="shared" si="7"/>
        <v>17.7</v>
      </c>
      <c r="I112" s="58">
        <f t="shared" si="4"/>
        <v>50</v>
      </c>
    </row>
    <row r="113" spans="1:9" x14ac:dyDescent="0.2">
      <c r="A113" s="75">
        <v>94</v>
      </c>
      <c r="B113" s="58" t="s">
        <v>122</v>
      </c>
      <c r="C113" s="58" t="s">
        <v>57</v>
      </c>
      <c r="D113" s="58">
        <v>50</v>
      </c>
      <c r="E113" s="58">
        <v>150</v>
      </c>
      <c r="F113" s="58">
        <f t="shared" si="5"/>
        <v>7.5</v>
      </c>
      <c r="G113" s="58">
        <f t="shared" si="6"/>
        <v>15</v>
      </c>
      <c r="H113" s="58">
        <f t="shared" si="7"/>
        <v>15</v>
      </c>
      <c r="I113" s="58">
        <f t="shared" si="4"/>
        <v>37.5</v>
      </c>
    </row>
    <row r="114" spans="1:9" x14ac:dyDescent="0.2">
      <c r="A114" s="75">
        <v>95</v>
      </c>
      <c r="B114" s="58" t="s">
        <v>168</v>
      </c>
      <c r="C114" s="58" t="s">
        <v>151</v>
      </c>
      <c r="D114" s="58">
        <v>88</v>
      </c>
      <c r="E114" s="58">
        <v>220</v>
      </c>
      <c r="F114" s="58">
        <f t="shared" si="5"/>
        <v>13.2</v>
      </c>
      <c r="G114" s="58">
        <f t="shared" si="6"/>
        <v>26.4</v>
      </c>
      <c r="H114" s="58">
        <f t="shared" si="7"/>
        <v>26.4</v>
      </c>
      <c r="I114" s="58">
        <f t="shared" si="4"/>
        <v>55</v>
      </c>
    </row>
    <row r="115" spans="1:9" x14ac:dyDescent="0.2">
      <c r="A115" s="75">
        <v>96</v>
      </c>
      <c r="B115" s="58" t="s">
        <v>169</v>
      </c>
      <c r="C115" s="58" t="s">
        <v>170</v>
      </c>
      <c r="D115" s="58">
        <v>510</v>
      </c>
      <c r="E115" s="58">
        <v>2000</v>
      </c>
      <c r="F115" s="58">
        <f t="shared" si="5"/>
        <v>76.5</v>
      </c>
      <c r="G115" s="58">
        <f t="shared" si="6"/>
        <v>153</v>
      </c>
      <c r="H115" s="58">
        <f t="shared" si="7"/>
        <v>153</v>
      </c>
      <c r="I115" s="58">
        <f t="shared" si="4"/>
        <v>500</v>
      </c>
    </row>
    <row r="116" spans="1:9" x14ac:dyDescent="0.2">
      <c r="A116" s="75">
        <v>97</v>
      </c>
      <c r="B116" s="58" t="s">
        <v>123</v>
      </c>
      <c r="C116" s="58" t="s">
        <v>55</v>
      </c>
      <c r="D116" s="58">
        <v>41</v>
      </c>
      <c r="E116" s="58">
        <v>140</v>
      </c>
      <c r="F116" s="58">
        <f t="shared" si="5"/>
        <v>6.1499999999999995</v>
      </c>
      <c r="G116" s="58">
        <f t="shared" si="6"/>
        <v>12.299999999999999</v>
      </c>
      <c r="H116" s="58">
        <f t="shared" si="7"/>
        <v>12.299999999999999</v>
      </c>
      <c r="I116" s="58">
        <f t="shared" si="4"/>
        <v>35</v>
      </c>
    </row>
    <row r="117" spans="1:9" x14ac:dyDescent="0.2">
      <c r="A117" s="75">
        <v>98</v>
      </c>
      <c r="B117" s="58" t="s">
        <v>124</v>
      </c>
      <c r="C117" s="58" t="s">
        <v>57</v>
      </c>
      <c r="D117" s="58">
        <v>42</v>
      </c>
      <c r="E117" s="58">
        <v>110</v>
      </c>
      <c r="F117" s="58">
        <f t="shared" si="5"/>
        <v>6.3</v>
      </c>
      <c r="G117" s="58">
        <f t="shared" si="6"/>
        <v>12.6</v>
      </c>
      <c r="H117" s="58">
        <f t="shared" si="7"/>
        <v>12.6</v>
      </c>
      <c r="I117" s="58">
        <f t="shared" si="4"/>
        <v>27.5</v>
      </c>
    </row>
    <row r="118" spans="1:9" x14ac:dyDescent="0.2">
      <c r="A118" s="75">
        <v>99</v>
      </c>
      <c r="B118" s="58" t="s">
        <v>68</v>
      </c>
      <c r="C118" s="58" t="s">
        <v>57</v>
      </c>
      <c r="D118" s="58">
        <v>53</v>
      </c>
      <c r="E118" s="58">
        <v>150</v>
      </c>
      <c r="F118" s="58">
        <f t="shared" si="5"/>
        <v>7.9499999999999993</v>
      </c>
      <c r="G118" s="58">
        <f t="shared" si="6"/>
        <v>15.899999999999999</v>
      </c>
      <c r="H118" s="58">
        <f t="shared" si="7"/>
        <v>15.899999999999999</v>
      </c>
      <c r="I118" s="58">
        <f t="shared" si="4"/>
        <v>37.5</v>
      </c>
    </row>
    <row r="119" spans="1:9" x14ac:dyDescent="0.2">
      <c r="A119" s="75">
        <v>100</v>
      </c>
      <c r="B119" s="58" t="s">
        <v>69</v>
      </c>
      <c r="C119" s="58" t="s">
        <v>55</v>
      </c>
      <c r="D119" s="58">
        <v>37</v>
      </c>
      <c r="E119" s="58">
        <v>100</v>
      </c>
      <c r="F119" s="58">
        <f t="shared" si="5"/>
        <v>5.55</v>
      </c>
      <c r="G119" s="58">
        <f t="shared" si="6"/>
        <v>11.1</v>
      </c>
      <c r="H119" s="58">
        <f t="shared" si="7"/>
        <v>11.1</v>
      </c>
      <c r="I119" s="58">
        <f t="shared" si="4"/>
        <v>25</v>
      </c>
    </row>
    <row r="120" spans="1:9" x14ac:dyDescent="0.2">
      <c r="A120" s="75">
        <v>101</v>
      </c>
      <c r="B120" s="58" t="s">
        <v>125</v>
      </c>
      <c r="C120" s="58" t="s">
        <v>57</v>
      </c>
      <c r="D120" s="58">
        <v>53</v>
      </c>
      <c r="E120" s="58">
        <v>185</v>
      </c>
      <c r="F120" s="58">
        <f t="shared" si="5"/>
        <v>7.9499999999999993</v>
      </c>
      <c r="G120" s="58">
        <f t="shared" si="6"/>
        <v>15.899999999999999</v>
      </c>
      <c r="H120" s="58">
        <f t="shared" si="7"/>
        <v>15.899999999999999</v>
      </c>
      <c r="I120" s="58">
        <f t="shared" si="4"/>
        <v>46.25</v>
      </c>
    </row>
    <row r="121" spans="1:9" x14ac:dyDescent="0.2">
      <c r="A121" s="75">
        <v>102</v>
      </c>
      <c r="B121" s="58" t="s">
        <v>126</v>
      </c>
      <c r="C121" s="58" t="s">
        <v>55</v>
      </c>
      <c r="D121" s="58">
        <v>47</v>
      </c>
      <c r="E121" s="58">
        <v>90</v>
      </c>
      <c r="F121" s="58">
        <f t="shared" si="5"/>
        <v>7.05</v>
      </c>
      <c r="G121" s="58">
        <f t="shared" si="6"/>
        <v>14.1</v>
      </c>
      <c r="H121" s="58">
        <f t="shared" si="7"/>
        <v>14.1</v>
      </c>
      <c r="I121" s="58">
        <f t="shared" si="4"/>
        <v>22.5</v>
      </c>
    </row>
    <row r="122" spans="1:9" x14ac:dyDescent="0.2">
      <c r="A122" s="75">
        <v>103</v>
      </c>
      <c r="B122" s="58" t="s">
        <v>171</v>
      </c>
      <c r="C122" s="58" t="s">
        <v>55</v>
      </c>
      <c r="D122" s="58">
        <v>41</v>
      </c>
      <c r="E122" s="58">
        <v>180</v>
      </c>
      <c r="F122" s="58">
        <f t="shared" si="5"/>
        <v>6.1499999999999995</v>
      </c>
      <c r="G122" s="58">
        <f t="shared" si="6"/>
        <v>12.299999999999999</v>
      </c>
      <c r="H122" s="58">
        <f t="shared" si="7"/>
        <v>12.299999999999999</v>
      </c>
      <c r="I122" s="58">
        <f t="shared" si="4"/>
        <v>45</v>
      </c>
    </row>
    <row r="123" spans="1:9" x14ac:dyDescent="0.2">
      <c r="A123" s="75">
        <v>104</v>
      </c>
      <c r="B123" s="58" t="s">
        <v>78</v>
      </c>
      <c r="C123" s="58" t="s">
        <v>57</v>
      </c>
      <c r="D123" s="58">
        <v>50</v>
      </c>
      <c r="E123" s="58">
        <v>80</v>
      </c>
      <c r="F123" s="58">
        <f t="shared" si="5"/>
        <v>7.5</v>
      </c>
      <c r="G123" s="58">
        <f t="shared" si="6"/>
        <v>15</v>
      </c>
      <c r="H123" s="58">
        <f t="shared" si="7"/>
        <v>15</v>
      </c>
      <c r="I123" s="58">
        <f t="shared" si="4"/>
        <v>20</v>
      </c>
    </row>
    <row r="124" spans="1:9" x14ac:dyDescent="0.2">
      <c r="A124" s="75">
        <v>105</v>
      </c>
      <c r="B124" s="58" t="s">
        <v>127</v>
      </c>
      <c r="C124" s="58" t="s">
        <v>55</v>
      </c>
      <c r="D124" s="58">
        <v>41</v>
      </c>
      <c r="E124" s="58">
        <v>140</v>
      </c>
      <c r="F124" s="58">
        <f t="shared" si="5"/>
        <v>6.1499999999999995</v>
      </c>
      <c r="G124" s="58">
        <f t="shared" si="6"/>
        <v>12.299999999999999</v>
      </c>
      <c r="H124" s="58">
        <f t="shared" si="7"/>
        <v>12.299999999999999</v>
      </c>
      <c r="I124" s="58">
        <f t="shared" si="4"/>
        <v>35</v>
      </c>
    </row>
    <row r="125" spans="1:9" x14ac:dyDescent="0.2">
      <c r="A125" s="75">
        <v>106</v>
      </c>
      <c r="B125" s="58" t="s">
        <v>172</v>
      </c>
      <c r="C125" s="58" t="s">
        <v>55</v>
      </c>
      <c r="D125" s="58">
        <v>53</v>
      </c>
      <c r="E125" s="58">
        <v>192</v>
      </c>
      <c r="F125" s="58">
        <f t="shared" si="5"/>
        <v>7.9499999999999993</v>
      </c>
      <c r="G125" s="58">
        <f t="shared" si="6"/>
        <v>15.899999999999999</v>
      </c>
      <c r="H125" s="58">
        <f t="shared" si="7"/>
        <v>15.899999999999999</v>
      </c>
      <c r="I125" s="58">
        <f t="shared" si="4"/>
        <v>48</v>
      </c>
    </row>
    <row r="126" spans="1:9" x14ac:dyDescent="0.2">
      <c r="A126" s="75">
        <v>107</v>
      </c>
      <c r="B126" s="58" t="s">
        <v>79</v>
      </c>
      <c r="C126" s="58" t="s">
        <v>57</v>
      </c>
      <c r="D126" s="58">
        <v>60</v>
      </c>
      <c r="E126" s="58">
        <v>220</v>
      </c>
      <c r="F126" s="58">
        <f t="shared" si="5"/>
        <v>9</v>
      </c>
      <c r="G126" s="58">
        <f t="shared" si="6"/>
        <v>18</v>
      </c>
      <c r="H126" s="58">
        <f t="shared" si="7"/>
        <v>18</v>
      </c>
      <c r="I126" s="58">
        <f t="shared" si="4"/>
        <v>55</v>
      </c>
    </row>
    <row r="127" spans="1:9" x14ac:dyDescent="0.2">
      <c r="A127" s="75">
        <v>108</v>
      </c>
      <c r="B127" s="58" t="s">
        <v>173</v>
      </c>
      <c r="C127" s="58" t="s">
        <v>55</v>
      </c>
      <c r="D127" s="58">
        <v>44</v>
      </c>
      <c r="E127" s="58">
        <v>143</v>
      </c>
      <c r="F127" s="58">
        <f>D127*15%</f>
        <v>6.6</v>
      </c>
      <c r="G127" s="58">
        <f>D127*30%</f>
        <v>13.2</v>
      </c>
      <c r="H127" s="58">
        <f>D127*30%</f>
        <v>13.2</v>
      </c>
      <c r="I127" s="58">
        <f t="shared" si="4"/>
        <v>35.75</v>
      </c>
    </row>
    <row r="128" spans="1:9" x14ac:dyDescent="0.2">
      <c r="A128" s="75">
        <v>109</v>
      </c>
      <c r="B128" s="58" t="s">
        <v>174</v>
      </c>
      <c r="C128" s="58" t="s">
        <v>175</v>
      </c>
      <c r="D128" s="58">
        <v>45</v>
      </c>
      <c r="E128" s="58">
        <v>220</v>
      </c>
      <c r="F128" s="58">
        <f t="shared" ref="F128:F134" si="8">D128*15%</f>
        <v>6.75</v>
      </c>
      <c r="G128" s="58">
        <f t="shared" ref="G128:G134" si="9">D128*30%</f>
        <v>13.5</v>
      </c>
      <c r="H128" s="58">
        <f t="shared" ref="H128:H134" si="10">D128*30%</f>
        <v>13.5</v>
      </c>
      <c r="I128" s="58">
        <f t="shared" si="4"/>
        <v>55</v>
      </c>
    </row>
    <row r="129" spans="1:9" x14ac:dyDescent="0.2">
      <c r="A129" s="75">
        <v>110</v>
      </c>
      <c r="B129" s="58" t="s">
        <v>128</v>
      </c>
      <c r="C129" s="58" t="s">
        <v>57</v>
      </c>
      <c r="D129" s="58">
        <v>53</v>
      </c>
      <c r="E129" s="58">
        <v>160</v>
      </c>
      <c r="F129" s="58">
        <f t="shared" si="8"/>
        <v>7.9499999999999993</v>
      </c>
      <c r="G129" s="58">
        <f t="shared" si="9"/>
        <v>15.899999999999999</v>
      </c>
      <c r="H129" s="58">
        <f t="shared" si="10"/>
        <v>15.899999999999999</v>
      </c>
      <c r="I129" s="58">
        <f t="shared" si="4"/>
        <v>40</v>
      </c>
    </row>
    <row r="130" spans="1:9" x14ac:dyDescent="0.2">
      <c r="A130" s="75">
        <v>111</v>
      </c>
      <c r="B130" s="58" t="s">
        <v>176</v>
      </c>
      <c r="C130" s="58" t="s">
        <v>55</v>
      </c>
      <c r="D130" s="58">
        <v>53</v>
      </c>
      <c r="E130" s="58">
        <v>192</v>
      </c>
      <c r="F130" s="58">
        <f t="shared" si="8"/>
        <v>7.9499999999999993</v>
      </c>
      <c r="G130" s="58">
        <f t="shared" si="9"/>
        <v>15.899999999999999</v>
      </c>
      <c r="H130" s="58">
        <f t="shared" si="10"/>
        <v>15.899999999999999</v>
      </c>
      <c r="I130" s="58">
        <f t="shared" si="4"/>
        <v>48</v>
      </c>
    </row>
    <row r="131" spans="1:9" ht="25.5" x14ac:dyDescent="0.2">
      <c r="A131" s="75">
        <v>112</v>
      </c>
      <c r="B131" s="58" t="s">
        <v>70</v>
      </c>
      <c r="C131" s="58" t="s">
        <v>55</v>
      </c>
      <c r="D131" s="58">
        <v>33</v>
      </c>
      <c r="E131" s="58">
        <v>100</v>
      </c>
      <c r="F131" s="58">
        <f t="shared" si="8"/>
        <v>4.95</v>
      </c>
      <c r="G131" s="58">
        <f t="shared" si="9"/>
        <v>9.9</v>
      </c>
      <c r="H131" s="58">
        <f t="shared" si="10"/>
        <v>9.9</v>
      </c>
      <c r="I131" s="58">
        <f t="shared" si="4"/>
        <v>25</v>
      </c>
    </row>
    <row r="132" spans="1:9" x14ac:dyDescent="0.2">
      <c r="A132" s="75">
        <v>113</v>
      </c>
      <c r="B132" s="58" t="s">
        <v>71</v>
      </c>
      <c r="C132" s="58" t="s">
        <v>55</v>
      </c>
      <c r="D132" s="58">
        <v>39</v>
      </c>
      <c r="E132" s="58">
        <v>90</v>
      </c>
      <c r="F132" s="58">
        <f t="shared" si="8"/>
        <v>5.85</v>
      </c>
      <c r="G132" s="58">
        <f t="shared" si="9"/>
        <v>11.7</v>
      </c>
      <c r="H132" s="58">
        <f t="shared" si="10"/>
        <v>11.7</v>
      </c>
      <c r="I132" s="58">
        <f t="shared" si="4"/>
        <v>22.5</v>
      </c>
    </row>
    <row r="133" spans="1:9" ht="25.5" x14ac:dyDescent="0.2">
      <c r="A133" s="75">
        <v>114</v>
      </c>
      <c r="B133" s="58" t="s">
        <v>129</v>
      </c>
      <c r="C133" s="58" t="s">
        <v>55</v>
      </c>
      <c r="D133" s="58">
        <v>43</v>
      </c>
      <c r="E133" s="58">
        <v>220</v>
      </c>
      <c r="F133" s="58">
        <f t="shared" si="8"/>
        <v>6.45</v>
      </c>
      <c r="G133" s="58">
        <f t="shared" si="9"/>
        <v>12.9</v>
      </c>
      <c r="H133" s="58">
        <f t="shared" si="10"/>
        <v>12.9</v>
      </c>
      <c r="I133" s="58">
        <f t="shared" si="4"/>
        <v>55</v>
      </c>
    </row>
    <row r="134" spans="1:9" ht="38.25" x14ac:dyDescent="0.2">
      <c r="A134" s="75">
        <v>115</v>
      </c>
      <c r="B134" s="58" t="s">
        <v>212</v>
      </c>
      <c r="C134" s="58" t="s">
        <v>55</v>
      </c>
      <c r="D134" s="58">
        <v>41</v>
      </c>
      <c r="E134" s="58">
        <v>140</v>
      </c>
      <c r="F134" s="58">
        <f t="shared" si="8"/>
        <v>6.1499999999999995</v>
      </c>
      <c r="G134" s="58">
        <f t="shared" si="9"/>
        <v>12.299999999999999</v>
      </c>
      <c r="H134" s="58">
        <f t="shared" si="10"/>
        <v>12.299999999999999</v>
      </c>
      <c r="I134" s="58">
        <f t="shared" si="4"/>
        <v>35</v>
      </c>
    </row>
    <row r="135" spans="1:9" x14ac:dyDescent="0.2">
      <c r="B135" s="86"/>
    </row>
  </sheetData>
  <sheetProtection sheet="1" objects="1" scenarios="1"/>
  <mergeCells count="35">
    <mergeCell ref="K29:O29"/>
    <mergeCell ref="P29:R29"/>
    <mergeCell ref="K2:R2"/>
    <mergeCell ref="K3:O3"/>
    <mergeCell ref="P3:R3"/>
    <mergeCell ref="K5:O5"/>
    <mergeCell ref="P5:R5"/>
    <mergeCell ref="K7:O7"/>
    <mergeCell ref="P7:R7"/>
    <mergeCell ref="K17:R17"/>
    <mergeCell ref="K18:O18"/>
    <mergeCell ref="K21:O21"/>
    <mergeCell ref="P21:R21"/>
    <mergeCell ref="K13:R13"/>
    <mergeCell ref="K15:O15"/>
    <mergeCell ref="P15:R15"/>
    <mergeCell ref="K37:O37"/>
    <mergeCell ref="P37:R37"/>
    <mergeCell ref="K31:O31"/>
    <mergeCell ref="P31:R31"/>
    <mergeCell ref="K33:O33"/>
    <mergeCell ref="P33:R33"/>
    <mergeCell ref="K35:O35"/>
    <mergeCell ref="P35:R35"/>
    <mergeCell ref="P23:R23"/>
    <mergeCell ref="K25:O25"/>
    <mergeCell ref="P25:R25"/>
    <mergeCell ref="F16:H16"/>
    <mergeCell ref="K28:R28"/>
    <mergeCell ref="P18:R18"/>
    <mergeCell ref="A3:C3"/>
    <mergeCell ref="A9:B9"/>
    <mergeCell ref="A13:B13"/>
    <mergeCell ref="F9:G9"/>
    <mergeCell ref="K23:O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AP48"/>
  <sheetViews>
    <sheetView showGridLines="0" tabSelected="1" zoomScaleNormal="100" workbookViewId="0">
      <selection activeCell="AO10" sqref="AO10"/>
    </sheetView>
  </sheetViews>
  <sheetFormatPr defaultRowHeight="12.75" x14ac:dyDescent="0.2"/>
  <cols>
    <col min="1" max="1" width="4.6640625" style="1" customWidth="1"/>
    <col min="2" max="2" width="17.6640625" style="1" customWidth="1"/>
    <col min="3" max="3" width="7.83203125" style="1" customWidth="1"/>
    <col min="4" max="4" width="6" style="1" customWidth="1"/>
    <col min="5" max="5" width="7" style="1" customWidth="1"/>
    <col min="6" max="6" width="8.5" style="1" customWidth="1"/>
    <col min="7" max="7" width="10.5" style="1" customWidth="1"/>
    <col min="8" max="8" width="8.6640625" style="1" customWidth="1"/>
    <col min="9" max="9" width="10.1640625" style="1" customWidth="1"/>
    <col min="10" max="10" width="11.1640625" style="1" customWidth="1"/>
    <col min="11" max="11" width="9.83203125" style="1" customWidth="1"/>
    <col min="12" max="12" width="11.1640625" style="1" customWidth="1"/>
    <col min="13" max="13" width="7" style="1" customWidth="1"/>
    <col min="14" max="14" width="10.5" style="1" customWidth="1"/>
    <col min="15" max="15" width="16.6640625" style="1" customWidth="1"/>
    <col min="16" max="16" width="6" style="1" hidden="1" customWidth="1"/>
    <col min="17" max="17" width="20.6640625" style="1" hidden="1" customWidth="1"/>
    <col min="18" max="18" width="18.83203125" style="1" hidden="1" customWidth="1"/>
    <col min="19" max="19" width="12.5" style="1" hidden="1" customWidth="1"/>
    <col min="20" max="20" width="11.33203125" style="1" hidden="1" customWidth="1"/>
    <col min="21" max="22" width="11.6640625" style="1" hidden="1" customWidth="1"/>
    <col min="23" max="23" width="12.1640625" style="1" hidden="1" customWidth="1"/>
    <col min="24" max="24" width="16" style="1" hidden="1" customWidth="1"/>
    <col min="25" max="25" width="12.1640625" style="1" hidden="1" customWidth="1"/>
    <col min="26" max="26" width="15.5" style="1" hidden="1" customWidth="1"/>
    <col min="27" max="27" width="12.33203125" style="1" hidden="1" customWidth="1"/>
    <col min="28" max="28" width="11.1640625" style="1" hidden="1" customWidth="1"/>
    <col min="29" max="29" width="11.6640625" style="1" hidden="1" customWidth="1"/>
    <col min="30" max="35" width="9.33203125" style="1" hidden="1" customWidth="1"/>
    <col min="36" max="16384" width="9.33203125" style="1"/>
  </cols>
  <sheetData>
    <row r="1" spans="2:34" ht="13.5" customHeight="1" x14ac:dyDescent="0.2"/>
    <row r="2" spans="2:34" ht="11.25" customHeight="1" thickBot="1" x14ac:dyDescent="0.25"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</row>
    <row r="3" spans="2:34" ht="28.5" customHeight="1" thickTop="1" thickBot="1" x14ac:dyDescent="0.25">
      <c r="B3" s="324" t="s">
        <v>285</v>
      </c>
      <c r="C3" s="325"/>
      <c r="D3" s="325"/>
      <c r="E3" s="325"/>
      <c r="F3" s="326" t="s">
        <v>286</v>
      </c>
      <c r="G3" s="327"/>
      <c r="H3" s="135" t="b">
        <v>1</v>
      </c>
      <c r="I3" s="326" t="s">
        <v>287</v>
      </c>
      <c r="J3" s="327"/>
      <c r="K3" s="136" t="b">
        <v>0</v>
      </c>
      <c r="L3" s="328" t="s">
        <v>300</v>
      </c>
      <c r="M3" s="329"/>
      <c r="N3" s="329"/>
      <c r="O3" s="330"/>
      <c r="S3" s="1" t="s">
        <v>235</v>
      </c>
    </row>
    <row r="4" spans="2:34" ht="52.5" thickTop="1" thickBot="1" x14ac:dyDescent="0.25">
      <c r="B4" s="111" t="s">
        <v>276</v>
      </c>
      <c r="C4" s="148" t="s">
        <v>277</v>
      </c>
      <c r="D4" s="150"/>
      <c r="E4" s="148" t="s">
        <v>278</v>
      </c>
      <c r="F4" s="149"/>
      <c r="G4" s="112" t="s">
        <v>279</v>
      </c>
      <c r="H4" s="148" t="s">
        <v>280</v>
      </c>
      <c r="I4" s="149"/>
      <c r="J4" s="148" t="s">
        <v>281</v>
      </c>
      <c r="K4" s="149"/>
      <c r="L4" s="148" t="s">
        <v>282</v>
      </c>
      <c r="M4" s="150"/>
      <c r="N4" s="112" t="s">
        <v>283</v>
      </c>
      <c r="O4" s="111" t="s">
        <v>284</v>
      </c>
      <c r="P4" s="106"/>
      <c r="Q4" s="100" t="s">
        <v>231</v>
      </c>
      <c r="R4" s="100" t="s">
        <v>232</v>
      </c>
      <c r="S4" s="100" t="s">
        <v>233</v>
      </c>
      <c r="T4" s="100" t="s">
        <v>234</v>
      </c>
      <c r="U4" s="100" t="s">
        <v>241</v>
      </c>
      <c r="V4" s="100" t="s">
        <v>242</v>
      </c>
      <c r="W4" s="100" t="s">
        <v>253</v>
      </c>
      <c r="X4" s="100" t="s">
        <v>239</v>
      </c>
      <c r="Y4" s="100" t="s">
        <v>250</v>
      </c>
      <c r="Z4" s="100" t="s">
        <v>240</v>
      </c>
      <c r="AD4" s="107" t="s">
        <v>251</v>
      </c>
      <c r="AE4" s="107" t="s">
        <v>252</v>
      </c>
      <c r="AF4" s="107" t="s">
        <v>240</v>
      </c>
      <c r="AG4" s="107"/>
      <c r="AH4" s="107"/>
    </row>
    <row r="5" spans="2:34" ht="18" customHeight="1" thickTop="1" thickBot="1" x14ac:dyDescent="0.25">
      <c r="B5" s="116"/>
      <c r="C5" s="331"/>
      <c r="D5" s="332"/>
      <c r="E5" s="331"/>
      <c r="F5" s="332"/>
      <c r="G5" s="117"/>
      <c r="H5" s="333"/>
      <c r="I5" s="334"/>
      <c r="J5" s="331"/>
      <c r="K5" s="332"/>
      <c r="L5" s="331"/>
      <c r="M5" s="332"/>
      <c r="N5" s="118"/>
      <c r="O5" s="119"/>
      <c r="P5" s="106"/>
      <c r="Q5" s="101" t="str">
        <f>IF(B5&lt;&gt;"",E5+G5,"")</f>
        <v/>
      </c>
      <c r="R5" s="101" t="str">
        <f>IF(H5&lt;&gt;"",L5+N5,"")</f>
        <v/>
      </c>
      <c r="S5" s="102">
        <f>IF(Q5&lt;&gt;"",(R5-Q5)*24,0)</f>
        <v>0</v>
      </c>
      <c r="T5" s="102">
        <f>IF(Q6&lt;&gt;"",(Q6-R5)*24,0)</f>
        <v>0</v>
      </c>
      <c r="U5" s="100" t="str">
        <f>IF(B5&lt;&gt;"",IF(AND(B5=H5,H5="Polska"),"krajowa","zagraniczna"),"")</f>
        <v/>
      </c>
      <c r="V5" s="100" t="str">
        <f>IF(B5&lt;&gt;"",IF(AND(B5=H5,H5="Polska"),"krajowa",
IF(AND(B5=H5,H5&lt;&gt;"Polska"),"zagraniczna",
IF(AND(B5="Polska",H5&lt;&gt;"Polska"),"zagraniczna",
IF(AND(B5&lt;&gt;"Polska",H5="Polska"),"krajowa",
"zagraniczna")))),"")</f>
        <v/>
      </c>
      <c r="W5" s="100" t="str">
        <f>IF(B5="","",IF(H5&lt;&gt;"Polska",H5,IF(B5&lt;&gt;"Polska",B5,"")))</f>
        <v/>
      </c>
      <c r="X5" s="100" t="str">
        <f>IF(AND(U5="krajowa",U4&lt;&gt;"krajowa"),MAX($X$4:X4)+1,IF(U5="krajowa",X4,""))</f>
        <v/>
      </c>
      <c r="Y5" s="100" t="str">
        <f>IF(AND(V5="krajowa",V4&lt;&gt;"krajowa"),MAX($Y$4:Y4)+1,IF(V5="krajowa",Y4,""))</f>
        <v/>
      </c>
      <c r="Z5" s="100">
        <f>MAX(ROUND((T5)/24,0),IFERROR(DATEDIF(R5,Q6,"D"),0))</f>
        <v>0</v>
      </c>
      <c r="AA5" s="1" t="s">
        <v>236</v>
      </c>
      <c r="AB5" s="98">
        <f>IF(H3=TRUE,(SUM($T$5:$T$14)+SUM($S$5:$S$14)-S15),0)</f>
        <v>0</v>
      </c>
      <c r="AC5" s="1">
        <f>IF(ROUNDDOWN(AB5/24,0)&lt;1,
ROUNDDOWN(AB5/24,0)+IF((AB5/24-ROUNDDOWN(AB5/24,0))*24&gt;12,1,IF((AB5/24-ROUNDDOWN(AB5/24,0))*24&gt;8,0.5,0)),
ROUNDDOWN(AB5/24,0)+IF((AB5/24-ROUNDDOWN(AB5/24,0))*24&gt;8,1,0.5))</f>
        <v>0</v>
      </c>
      <c r="AD5" s="107" t="str">
        <f>IF(AND($Q$15="",$R$15=""),"",
IF(Q5="","",MAX(0,MIN(R5,$R$15)-MAX(Q5,$Q$15))*24))</f>
        <v/>
      </c>
      <c r="AE5" s="107" t="str">
        <f>IF(AND($Q$15="",$R$15=""),"",
IF(Q6="","",MAX(0,MIN(Q6,$R$15)-MAX(R5,$Q$15))*24))</f>
        <v/>
      </c>
      <c r="AF5" s="107"/>
      <c r="AG5" s="107"/>
      <c r="AH5" s="107"/>
    </row>
    <row r="6" spans="2:34" ht="18" customHeight="1" thickBot="1" x14ac:dyDescent="0.25">
      <c r="B6" s="120"/>
      <c r="C6" s="335"/>
      <c r="D6" s="335"/>
      <c r="E6" s="335"/>
      <c r="F6" s="335"/>
      <c r="G6" s="121"/>
      <c r="H6" s="336"/>
      <c r="I6" s="336"/>
      <c r="J6" s="335"/>
      <c r="K6" s="335"/>
      <c r="L6" s="335"/>
      <c r="M6" s="335"/>
      <c r="N6" s="121"/>
      <c r="O6" s="122"/>
      <c r="P6" s="106"/>
      <c r="Q6" s="101" t="str">
        <f t="shared" ref="Q6:Q15" si="0">IF(B6&lt;&gt;"",E6+G6,"")</f>
        <v/>
      </c>
      <c r="R6" s="101" t="str">
        <f t="shared" ref="R6:R15" si="1">IF(H6&lt;&gt;"",L6+N6,"")</f>
        <v/>
      </c>
      <c r="S6" s="102">
        <f t="shared" ref="S6:S13" si="2">IF(Q6&lt;&gt;"",(R6-Q6)*24,0)</f>
        <v>0</v>
      </c>
      <c r="T6" s="102">
        <f t="shared" ref="T6:T12" si="3">IF(Q7&lt;&gt;"",(Q7-R6)*24,0)</f>
        <v>0</v>
      </c>
      <c r="U6" s="100" t="str">
        <f t="shared" ref="U6:U15" si="4">IF(B6&lt;&gt;"",IF(AND(B6=H6,H6="Polska"),"krajowa","zagraniczna"),"")</f>
        <v/>
      </c>
      <c r="V6" s="100" t="str">
        <f t="shared" ref="V6:V13" si="5">IF(B6&lt;&gt;"",IF(AND(B6=H6,H6="Polska"),"krajowa",
IF(AND(B6=H6,H6&lt;&gt;"Polska"),"zagraniczna",
IF(AND(B6="Polska",H6&lt;&gt;"Polska"),"zagraniczna",
IF(AND(B6&lt;&gt;"Polska",H6="Polska"),"krajowa",
"zagraniczna")))),"")</f>
        <v/>
      </c>
      <c r="W6" s="100" t="str">
        <f t="shared" ref="W6:W13" si="6">IF(B6="","",IF(H6&lt;&gt;"Polska",H6,IF(B6&lt;&gt;"Polska",B6,"")))</f>
        <v/>
      </c>
      <c r="X6" s="100" t="str">
        <f>IF(AND(U6="krajowa",U5&lt;&gt;"krajowa"),MAX($X$4:X5)+1,IF(U6="krajowa",X5,""))</f>
        <v/>
      </c>
      <c r="Y6" s="100" t="str">
        <f>IF(AND(V6="krajowa",V5&lt;&gt;"krajowa"),MAX($Y$4:Y5)+1,IF(V6="krajowa",Y5,""))</f>
        <v/>
      </c>
      <c r="Z6" s="100">
        <f>MAX(ROUND((T6)/24,0),IFERROR(DATEDIF(R6,Q7,"D"),0))</f>
        <v>0</v>
      </c>
      <c r="AA6" s="1" t="s">
        <v>237</v>
      </c>
      <c r="AB6" s="98">
        <f>SUMIFS($T$5:$T$14,$V$5:$V$14,AA6)+SUMIFS($S$5:$S$14,$U$5:$U$14,AA6)
-SUMIFS($AD$5:$AD$13,$U$5:$U$13,AA6)-SUMIFS($AE$5:$AE$13,$V$5:$V$13,AA6)</f>
        <v>0</v>
      </c>
      <c r="AC6" s="1">
        <f>ROUNDDOWN(AB6/24,0)
+IF((AB6/24-ROUNDDOWN(AB6/24,0))*24&gt;12,1,
IF((AB6/24-ROUNDDOWN(AB6/24,0))*24&gt;8,0.5,1/3))</f>
        <v>0.33333333333333331</v>
      </c>
      <c r="AD6" s="107" t="str">
        <f t="shared" ref="AD6:AD13" si="7">IF(AND($Q$15="",$R$15=""),"",
IF(Q6="","",MAX(0,MIN(R6,$R$15)-MAX(Q6,$Q$15))*24))</f>
        <v/>
      </c>
      <c r="AE6" s="107" t="str">
        <f t="shared" ref="AE6:AE13" si="8">IF(AND($Q$15="",$R$15=""),"",
IF(Q7="","",MAX(0,MIN(Q7,$R$15)-MAX(R6,$Q$15))*24))</f>
        <v/>
      </c>
      <c r="AF6" s="107"/>
      <c r="AG6" s="107"/>
      <c r="AH6" s="107"/>
    </row>
    <row r="7" spans="2:34" ht="18" customHeight="1" thickBot="1" x14ac:dyDescent="0.25">
      <c r="B7" s="120"/>
      <c r="C7" s="335"/>
      <c r="D7" s="335"/>
      <c r="E7" s="335"/>
      <c r="F7" s="335"/>
      <c r="G7" s="121"/>
      <c r="H7" s="336"/>
      <c r="I7" s="336"/>
      <c r="J7" s="335"/>
      <c r="K7" s="335"/>
      <c r="L7" s="335"/>
      <c r="M7" s="335"/>
      <c r="N7" s="121"/>
      <c r="O7" s="122"/>
      <c r="P7" s="106"/>
      <c r="Q7" s="101" t="str">
        <f t="shared" si="0"/>
        <v/>
      </c>
      <c r="R7" s="101" t="str">
        <f t="shared" si="1"/>
        <v/>
      </c>
      <c r="S7" s="102">
        <f t="shared" si="2"/>
        <v>0</v>
      </c>
      <c r="T7" s="102">
        <f t="shared" si="3"/>
        <v>0</v>
      </c>
      <c r="U7" s="100" t="str">
        <f t="shared" si="4"/>
        <v/>
      </c>
      <c r="V7" s="100" t="str">
        <f t="shared" si="5"/>
        <v/>
      </c>
      <c r="W7" s="100" t="str">
        <f t="shared" si="6"/>
        <v/>
      </c>
      <c r="X7" s="100" t="str">
        <f>IF(AND(U7="krajowa",U6&lt;&gt;"krajowa"),MAX($X$4:X6)+1,IF(U7="krajowa",X6,""))</f>
        <v/>
      </c>
      <c r="Y7" s="100" t="str">
        <f>IF(AND(V7="krajowa",V6&lt;&gt;"krajowa"),MAX($Y$4:Y6)+1,IF(V7="krajowa",Y6,""))</f>
        <v/>
      </c>
      <c r="Z7" s="100">
        <f>MAX(ROUND((T7)/24,0),IFERROR(DATEDIF(R7,Q8,"D"),0))</f>
        <v>0</v>
      </c>
      <c r="AA7" s="1" t="s">
        <v>249</v>
      </c>
      <c r="AB7" s="1">
        <f>SUM(AC10:AC13)</f>
        <v>0</v>
      </c>
      <c r="AD7" s="107" t="str">
        <f t="shared" si="7"/>
        <v/>
      </c>
      <c r="AE7" s="107" t="str">
        <f t="shared" si="8"/>
        <v/>
      </c>
      <c r="AF7" s="107"/>
      <c r="AG7" s="107"/>
      <c r="AH7" s="107"/>
    </row>
    <row r="8" spans="2:34" ht="18" customHeight="1" thickBot="1" x14ac:dyDescent="0.25">
      <c r="B8" s="120"/>
      <c r="C8" s="335"/>
      <c r="D8" s="335"/>
      <c r="E8" s="335"/>
      <c r="F8" s="335"/>
      <c r="G8" s="121"/>
      <c r="H8" s="336"/>
      <c r="I8" s="336"/>
      <c r="J8" s="335"/>
      <c r="K8" s="335"/>
      <c r="L8" s="335"/>
      <c r="M8" s="335"/>
      <c r="N8" s="121"/>
      <c r="O8" s="122"/>
      <c r="P8" s="106"/>
      <c r="Q8" s="101" t="str">
        <f t="shared" si="0"/>
        <v/>
      </c>
      <c r="R8" s="101" t="str">
        <f t="shared" si="1"/>
        <v/>
      </c>
      <c r="S8" s="102">
        <f t="shared" si="2"/>
        <v>0</v>
      </c>
      <c r="T8" s="102">
        <f t="shared" si="3"/>
        <v>0</v>
      </c>
      <c r="U8" s="100" t="str">
        <f t="shared" si="4"/>
        <v/>
      </c>
      <c r="V8" s="100" t="str">
        <f t="shared" si="5"/>
        <v/>
      </c>
      <c r="W8" s="100" t="str">
        <f t="shared" si="6"/>
        <v/>
      </c>
      <c r="X8" s="100" t="str">
        <f>IF(AND(U8="krajowa",U7&lt;&gt;"krajowa"),MAX($X$4:X7)+1,IF(U8="krajowa",X7,""))</f>
        <v/>
      </c>
      <c r="Y8" s="100" t="str">
        <f>IF(AND(V8="krajowa",V7&lt;&gt;"krajowa"),MAX($Y$4:Y7)+1,IF(V8="krajowa",Y7,""))</f>
        <v/>
      </c>
      <c r="Z8" s="100">
        <f t="shared" ref="Z8:Z13" si="9">MAX(ROUND((T8)/24,0),IFERROR(DATEDIF(R8,Q9,"D"),0))</f>
        <v>0</v>
      </c>
      <c r="AA8" s="1" t="s">
        <v>238</v>
      </c>
      <c r="AB8" s="1" t="str">
        <f>IF(H3=TRUE,"Polska",VLOOKUP(MAX(T5:T14),T5:W14,4,FALSE))</f>
        <v>Polska</v>
      </c>
      <c r="AC8" s="1" t="str">
        <f>IF(AND(H5&lt;&gt;"Polska",H5&lt;&gt;""),H5,
IF(AND(H6&lt;&gt;"Polska",H6&lt;&gt;""),H6,
IF(AND(H7&lt;&gt;"Polska",H7&lt;&gt;""),H7,
IF(AND(H8&lt;&gt;"Polska",H8&lt;&gt;""),H8,
IF(AND(H9&lt;&gt;"Polska",H9&lt;&gt;""),H9,
IF(AND(H10&lt;&gt;"Polska",H10&lt;&gt;""),H10,
IF(AND(H11&lt;&gt;"Polska",H11&lt;&gt;""),H11,
IF(AND(H12&lt;&gt;"Polska",H12&lt;&gt;""),H12,
IF(AND(H13&lt;&gt;"Polska",H13&lt;&gt;""),H13,
"Polska")))))))))</f>
        <v>Polska</v>
      </c>
      <c r="AD8" s="107" t="str">
        <f t="shared" si="7"/>
        <v/>
      </c>
      <c r="AE8" s="107" t="str">
        <f t="shared" si="8"/>
        <v/>
      </c>
      <c r="AF8" s="107"/>
      <c r="AG8" s="107"/>
      <c r="AH8" s="107"/>
    </row>
    <row r="9" spans="2:34" ht="18" customHeight="1" thickBot="1" x14ac:dyDescent="0.25">
      <c r="B9" s="120"/>
      <c r="C9" s="335"/>
      <c r="D9" s="335"/>
      <c r="E9" s="335"/>
      <c r="F9" s="335"/>
      <c r="G9" s="121"/>
      <c r="H9" s="336"/>
      <c r="I9" s="336"/>
      <c r="J9" s="335"/>
      <c r="K9" s="335"/>
      <c r="L9" s="335"/>
      <c r="M9" s="335"/>
      <c r="N9" s="121"/>
      <c r="O9" s="122"/>
      <c r="P9" s="106"/>
      <c r="Q9" s="101" t="str">
        <f t="shared" si="0"/>
        <v/>
      </c>
      <c r="R9" s="101" t="str">
        <f t="shared" si="1"/>
        <v/>
      </c>
      <c r="S9" s="102">
        <f t="shared" si="2"/>
        <v>0</v>
      </c>
      <c r="T9" s="102">
        <f t="shared" si="3"/>
        <v>0</v>
      </c>
      <c r="U9" s="100" t="str">
        <f t="shared" si="4"/>
        <v/>
      </c>
      <c r="V9" s="100" t="str">
        <f t="shared" si="5"/>
        <v/>
      </c>
      <c r="W9" s="100" t="str">
        <f t="shared" si="6"/>
        <v/>
      </c>
      <c r="X9" s="100" t="str">
        <f>IF(AND(U9="krajowa",U8&lt;&gt;"krajowa"),MAX($X$4:X8)+1,IF(U9="krajowa",X8,""))</f>
        <v/>
      </c>
      <c r="Y9" s="100" t="str">
        <f>IF(AND(V9="krajowa",V8&lt;&gt;"krajowa"),MAX($Y$4:Y8)+1,IF(V9="krajowa",Y8,""))</f>
        <v/>
      </c>
      <c r="Z9" s="100">
        <f t="shared" si="9"/>
        <v>0</v>
      </c>
      <c r="AD9" s="107" t="str">
        <f t="shared" si="7"/>
        <v/>
      </c>
      <c r="AE9" s="107" t="str">
        <f t="shared" si="8"/>
        <v/>
      </c>
      <c r="AF9" s="107"/>
      <c r="AG9" s="107"/>
      <c r="AH9" s="107"/>
    </row>
    <row r="10" spans="2:34" ht="18" customHeight="1" thickBot="1" x14ac:dyDescent="0.25">
      <c r="B10" s="120"/>
      <c r="C10" s="335"/>
      <c r="D10" s="335"/>
      <c r="E10" s="335"/>
      <c r="F10" s="335"/>
      <c r="G10" s="121"/>
      <c r="H10" s="336"/>
      <c r="I10" s="336"/>
      <c r="J10" s="335"/>
      <c r="K10" s="335"/>
      <c r="L10" s="335"/>
      <c r="M10" s="335"/>
      <c r="N10" s="121"/>
      <c r="O10" s="122"/>
      <c r="P10" s="106"/>
      <c r="Q10" s="101" t="str">
        <f t="shared" si="0"/>
        <v/>
      </c>
      <c r="R10" s="101" t="str">
        <f t="shared" si="1"/>
        <v/>
      </c>
      <c r="S10" s="102">
        <f t="shared" si="2"/>
        <v>0</v>
      </c>
      <c r="T10" s="102">
        <f t="shared" si="3"/>
        <v>0</v>
      </c>
      <c r="U10" s="100" t="str">
        <f t="shared" si="4"/>
        <v/>
      </c>
      <c r="V10" s="100" t="str">
        <f t="shared" si="5"/>
        <v/>
      </c>
      <c r="W10" s="100" t="str">
        <f t="shared" si="6"/>
        <v/>
      </c>
      <c r="X10" s="100" t="str">
        <f>IF(AND(U10="krajowa",U9&lt;&gt;"krajowa"),MAX($X$4:X9)+1,IF(U10="krajowa",X9,""))</f>
        <v/>
      </c>
      <c r="Y10" s="100" t="str">
        <f>IF(AND(V10="krajowa",V9&lt;&gt;"krajowa"),MAX($Y$4:Y9)+1,IF(V10="krajowa",Y9,""))</f>
        <v/>
      </c>
      <c r="Z10" s="100">
        <f t="shared" si="9"/>
        <v>0</v>
      </c>
      <c r="AA10" s="1" t="s">
        <v>245</v>
      </c>
      <c r="AB10" s="98">
        <f>SUMIFS($S$5:$S$13,$X$5:$X$13,1)+SUMIFS($T$5:$T$13,$Y$5:$Y$13,1)
-SUMIFS($AD$5:$AD$13,$X$5:$X$13,1)-SUMIFS($AE$5:$AE$13,$Y$5:$Y$13,1)</f>
        <v>0</v>
      </c>
      <c r="AC10" s="1">
        <f>IF(ROUNDDOWN(AB10/24,0)&lt;1,
ROUNDDOWN(AB10/24,0)+IF((AB10/24-ROUNDDOWN(AB10/24,0))*24&gt;12,1,IF((AB10/24-ROUNDDOWN(AB10/24,0))*24&gt;8,0.5,0)),
ROUNDDOWN(AB10/24,0)+IF((AB10/24-ROUNDDOWN(AB10/24,0))*24&gt;8,1,0.5))</f>
        <v>0</v>
      </c>
      <c r="AD10" s="107" t="str">
        <f t="shared" si="7"/>
        <v/>
      </c>
      <c r="AE10" s="107" t="str">
        <f t="shared" si="8"/>
        <v/>
      </c>
      <c r="AF10" s="107"/>
      <c r="AG10" s="107"/>
      <c r="AH10" s="107"/>
    </row>
    <row r="11" spans="2:34" ht="17.45" customHeight="1" thickBot="1" x14ac:dyDescent="0.25">
      <c r="B11" s="120"/>
      <c r="C11" s="335"/>
      <c r="D11" s="335"/>
      <c r="E11" s="335"/>
      <c r="F11" s="335"/>
      <c r="G11" s="121"/>
      <c r="H11" s="336"/>
      <c r="I11" s="336"/>
      <c r="J11" s="335"/>
      <c r="K11" s="335"/>
      <c r="L11" s="335"/>
      <c r="M11" s="335"/>
      <c r="N11" s="121"/>
      <c r="O11" s="122"/>
      <c r="P11" s="106"/>
      <c r="Q11" s="101" t="str">
        <f t="shared" si="0"/>
        <v/>
      </c>
      <c r="R11" s="101" t="str">
        <f t="shared" si="1"/>
        <v/>
      </c>
      <c r="S11" s="102">
        <f t="shared" si="2"/>
        <v>0</v>
      </c>
      <c r="T11" s="102">
        <f t="shared" si="3"/>
        <v>0</v>
      </c>
      <c r="U11" s="100" t="str">
        <f t="shared" si="4"/>
        <v/>
      </c>
      <c r="V11" s="100" t="str">
        <f t="shared" si="5"/>
        <v/>
      </c>
      <c r="W11" s="100" t="str">
        <f t="shared" si="6"/>
        <v/>
      </c>
      <c r="X11" s="100" t="str">
        <f>IF(AND(U11="krajowa",U10&lt;&gt;"krajowa"),MAX($X$4:X10)+1,IF(U11="krajowa",X10,""))</f>
        <v/>
      </c>
      <c r="Y11" s="100" t="str">
        <f>IF(AND(V11="krajowa",V10&lt;&gt;"krajowa"),MAX($Y$4:Y10)+1,IF(V11="krajowa",Y10,""))</f>
        <v/>
      </c>
      <c r="Z11" s="100">
        <f t="shared" si="9"/>
        <v>0</v>
      </c>
      <c r="AA11" s="1" t="s">
        <v>246</v>
      </c>
      <c r="AB11" s="98">
        <f>SUMIFS($S$5:$S$13,$X$5:$X$13,2)+SUMIFS($T$5:$T$13,$Y$5:$Y$13,2)
-SUMIFS($AD$5:$AD$13,$X$5:$X$13,2)-SUMIFS($AE$5:$AE$13,$Y$5:$Y$13,2)</f>
        <v>0</v>
      </c>
      <c r="AC11" s="1">
        <f>IF(ROUNDDOWN(AB11/24,0)&lt;1,
ROUNDDOWN(AB11/24,0)+IF((AB11/24-ROUNDDOWN(AB11/24,0))*24&gt;12,1,IF((AB11/24-ROUNDDOWN(AB11/24,0))*24&gt;8,0.5,0)),
ROUNDDOWN(AB11/24,0)+IF((AB11/24-ROUNDDOWN(AB11/24,0))*24&gt;8,1,0.5))</f>
        <v>0</v>
      </c>
      <c r="AD11" s="107" t="str">
        <f t="shared" si="7"/>
        <v/>
      </c>
      <c r="AE11" s="107" t="str">
        <f t="shared" si="8"/>
        <v/>
      </c>
      <c r="AF11" s="107"/>
      <c r="AG11" s="107"/>
      <c r="AH11" s="107"/>
    </row>
    <row r="12" spans="2:34" ht="17.45" customHeight="1" thickBot="1" x14ac:dyDescent="0.25">
      <c r="B12" s="120"/>
      <c r="C12" s="335"/>
      <c r="D12" s="335"/>
      <c r="E12" s="335"/>
      <c r="F12" s="335"/>
      <c r="G12" s="121"/>
      <c r="H12" s="336"/>
      <c r="I12" s="336"/>
      <c r="J12" s="335"/>
      <c r="K12" s="335"/>
      <c r="L12" s="335"/>
      <c r="M12" s="335"/>
      <c r="N12" s="121"/>
      <c r="O12" s="122"/>
      <c r="P12" s="106"/>
      <c r="Q12" s="101" t="str">
        <f t="shared" si="0"/>
        <v/>
      </c>
      <c r="R12" s="101" t="str">
        <f t="shared" si="1"/>
        <v/>
      </c>
      <c r="S12" s="102">
        <f t="shared" si="2"/>
        <v>0</v>
      </c>
      <c r="T12" s="102">
        <f t="shared" si="3"/>
        <v>0</v>
      </c>
      <c r="U12" s="100" t="str">
        <f t="shared" si="4"/>
        <v/>
      </c>
      <c r="V12" s="100" t="str">
        <f t="shared" si="5"/>
        <v/>
      </c>
      <c r="W12" s="100" t="str">
        <f t="shared" si="6"/>
        <v/>
      </c>
      <c r="X12" s="100" t="str">
        <f>IF(AND(U12="krajowa",U11&lt;&gt;"krajowa"),MAX($X$4:X11)+1,IF(U12="krajowa",X11,""))</f>
        <v/>
      </c>
      <c r="Y12" s="100" t="str">
        <f>IF(AND(V12="krajowa",V11&lt;&gt;"krajowa"),MAX($Y$4:Y11)+1,IF(V12="krajowa",Y11,""))</f>
        <v/>
      </c>
      <c r="Z12" s="100">
        <f t="shared" si="9"/>
        <v>0</v>
      </c>
      <c r="AA12" s="1" t="s">
        <v>247</v>
      </c>
      <c r="AB12" s="98">
        <f>SUMIFS($S$5:$S$13,$X$5:$X$13,3)+SUMIFS($T$5:$T$13,$Y$5:$Y$13,3)
-SUMIFS($AD$5:$AD$13,$X$5:$X$13,3)-SUMIFS($AE$5:$AE$13,$Y$5:$Y$13,3)</f>
        <v>0</v>
      </c>
      <c r="AC12" s="1">
        <f>IF(ROUNDDOWN(AB12/24,0)&lt;1,
ROUNDDOWN(AB12/24,0)+IF((AB12/24-ROUNDDOWN(AB12/24,0))*24&gt;12,1,IF((AB12/24-ROUNDDOWN(AB12/24,0))*24&gt;8,0.5,0)),
ROUNDDOWN(AB12/24,0)+IF((AB12/24-ROUNDDOWN(AB12/24,0))*24&gt;8,1,0.5))</f>
        <v>0</v>
      </c>
      <c r="AD12" s="107" t="str">
        <f t="shared" si="7"/>
        <v/>
      </c>
      <c r="AE12" s="107" t="str">
        <f t="shared" si="8"/>
        <v/>
      </c>
      <c r="AF12" s="107"/>
      <c r="AG12" s="107"/>
      <c r="AH12" s="107"/>
    </row>
    <row r="13" spans="2:34" ht="17.45" customHeight="1" thickBot="1" x14ac:dyDescent="0.25">
      <c r="B13" s="123"/>
      <c r="C13" s="344"/>
      <c r="D13" s="344"/>
      <c r="E13" s="345"/>
      <c r="F13" s="346"/>
      <c r="G13" s="124"/>
      <c r="H13" s="347"/>
      <c r="I13" s="348"/>
      <c r="J13" s="345"/>
      <c r="K13" s="346"/>
      <c r="L13" s="345"/>
      <c r="M13" s="346"/>
      <c r="N13" s="124"/>
      <c r="O13" s="125"/>
      <c r="P13" s="106"/>
      <c r="Q13" s="101" t="str">
        <f t="shared" si="0"/>
        <v/>
      </c>
      <c r="R13" s="101" t="str">
        <f t="shared" si="1"/>
        <v/>
      </c>
      <c r="S13" s="102">
        <f t="shared" si="2"/>
        <v>0</v>
      </c>
      <c r="T13" s="102">
        <f>IF(Q14&lt;&gt;"",(Q14-R13)*24,0)</f>
        <v>0</v>
      </c>
      <c r="U13" s="100" t="str">
        <f t="shared" si="4"/>
        <v/>
      </c>
      <c r="V13" s="100" t="str">
        <f t="shared" si="5"/>
        <v/>
      </c>
      <c r="W13" s="100" t="str">
        <f t="shared" si="6"/>
        <v/>
      </c>
      <c r="X13" s="100" t="str">
        <f>IF(AND(U13="krajowa",U12&lt;&gt;"krajowa"),MAX($X$4:X12)+1,IF(U13="krajowa",X12,""))</f>
        <v/>
      </c>
      <c r="Y13" s="100" t="str">
        <f>IF(AND(V13="krajowa",V12&lt;&gt;"krajowa"),MAX($Y$4:Y12)+1,IF(V13="krajowa",Y12,""))</f>
        <v/>
      </c>
      <c r="Z13" s="100">
        <f t="shared" si="9"/>
        <v>0</v>
      </c>
      <c r="AA13" s="1" t="s">
        <v>248</v>
      </c>
      <c r="AB13" s="98">
        <f>SUMIFS($S$5:$S$13,$X$5:$X$13,4)+SUMIFS($T$5:$T$13,$Y$5:$Y$13,4)
-SUMIFS($AD$5:$AD$13,$X$5:$X$13,4)-SUMIFS($AE$5:$AE$13,$Y$5:$Y$13,4)</f>
        <v>0</v>
      </c>
      <c r="AC13" s="1">
        <f>IF(ROUNDDOWN(AB13/24,0)&lt;1,
ROUNDDOWN(AB13/24,0)+IF((AB13/24-ROUNDDOWN(AB13/24,0))*24&gt;12,1,IF((AB13/24-ROUNDDOWN(AB13/24,0))*24&gt;8,0.5,0)),
ROUNDDOWN(AB13/24,0)+IF((AB13/24-ROUNDDOWN(AB13/24,0))*24&gt;8,1,0.5))</f>
        <v>0</v>
      </c>
      <c r="AD13" s="107" t="str">
        <f t="shared" si="7"/>
        <v/>
      </c>
      <c r="AE13" s="107" t="str">
        <f t="shared" si="8"/>
        <v/>
      </c>
      <c r="AF13" s="107"/>
      <c r="AG13" s="107"/>
      <c r="AH13" s="107"/>
    </row>
    <row r="14" spans="2:34" ht="15.75" customHeight="1" thickTop="1" thickBot="1" x14ac:dyDescent="0.25">
      <c r="B14" s="349" t="s">
        <v>254</v>
      </c>
      <c r="C14" s="350"/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1"/>
      <c r="P14" s="106"/>
      <c r="Q14" s="103"/>
      <c r="R14" s="103"/>
      <c r="S14" s="104"/>
      <c r="T14" s="104"/>
      <c r="U14" s="105"/>
      <c r="V14" s="105"/>
      <c r="W14" s="105"/>
      <c r="X14" s="105"/>
      <c r="Y14" s="105"/>
      <c r="Z14" s="105"/>
      <c r="AD14" s="108"/>
      <c r="AE14" s="108"/>
      <c r="AF14" s="108"/>
      <c r="AG14" s="108"/>
      <c r="AH14" s="108"/>
    </row>
    <row r="15" spans="2:34" ht="18" customHeight="1" thickTop="1" thickBot="1" x14ac:dyDescent="0.3">
      <c r="B15" s="126"/>
      <c r="C15" s="337"/>
      <c r="D15" s="338"/>
      <c r="E15" s="337"/>
      <c r="F15" s="338"/>
      <c r="G15" s="127"/>
      <c r="H15" s="339"/>
      <c r="I15" s="340"/>
      <c r="J15" s="337"/>
      <c r="K15" s="338"/>
      <c r="L15" s="337"/>
      <c r="M15" s="338"/>
      <c r="N15" s="127"/>
      <c r="O15" s="128"/>
      <c r="P15" s="106"/>
      <c r="Q15" s="101" t="str">
        <f t="shared" si="0"/>
        <v/>
      </c>
      <c r="R15" s="101" t="str">
        <f t="shared" si="1"/>
        <v/>
      </c>
      <c r="S15" s="102">
        <f>IF(Q15&lt;&gt;"",(IF(MAX(R5:R13)&lt;R15,MAX(R5:R13),R15)-Q15)*24,0)</f>
        <v>0</v>
      </c>
      <c r="T15" s="102"/>
      <c r="U15" s="100" t="str">
        <f t="shared" si="4"/>
        <v/>
      </c>
      <c r="V15" s="100"/>
      <c r="W15" s="100" t="str">
        <f t="shared" ref="W15" si="10">IF(B15="","",IF(B15&lt;&gt;"Polska",B15,IF(H15&lt;&gt;"Polska",H15,"")))</f>
        <v/>
      </c>
      <c r="X15" s="100"/>
      <c r="Y15" s="100"/>
      <c r="Z15" s="100">
        <f>ROUND(S15/24,0)</f>
        <v>0</v>
      </c>
      <c r="AD15" s="107"/>
      <c r="AE15" s="107"/>
      <c r="AF15" s="107"/>
      <c r="AG15" s="107"/>
      <c r="AH15" s="107"/>
    </row>
    <row r="16" spans="2:34" ht="16.5" thickTop="1" thickBot="1" x14ac:dyDescent="0.25">
      <c r="B16" s="341" t="s">
        <v>263</v>
      </c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3"/>
      <c r="S16" s="98"/>
      <c r="T16" s="98"/>
    </row>
    <row r="17" spans="2:19" ht="29.25" customHeight="1" thickTop="1" thickBot="1" x14ac:dyDescent="0.25">
      <c r="B17" s="172" t="s">
        <v>257</v>
      </c>
      <c r="C17" s="173"/>
      <c r="D17" s="173"/>
      <c r="E17" s="172" t="s">
        <v>269</v>
      </c>
      <c r="F17" s="173"/>
      <c r="G17" s="367" t="s">
        <v>270</v>
      </c>
      <c r="H17" s="368"/>
      <c r="I17" s="172" t="s">
        <v>271</v>
      </c>
      <c r="J17" s="174"/>
      <c r="K17" s="369" t="str">
        <f>IF(AB8="","Waluta obca ","Waluta obca "&amp;IF(K3=TRUE,VLOOKUP(AB8,Dane!B20:C134,2,FALSE),""))&amp;"
"&amp;IF(AB8="","Foreign currency ","Foreign currency "&amp;IF(K3=TRUE,VLOOKUP(AB8,Dane!B20:C134,2,FALSE),""))</f>
        <v xml:space="preserve">Waluta obca 
Foreign currency </v>
      </c>
      <c r="L17" s="370"/>
      <c r="M17" s="459" t="s">
        <v>272</v>
      </c>
      <c r="N17" s="460"/>
      <c r="O17" s="461" t="s">
        <v>272</v>
      </c>
    </row>
    <row r="18" spans="2:19" ht="28.5" customHeight="1" thickTop="1" thickBot="1" x14ac:dyDescent="0.25">
      <c r="B18" s="175" t="s">
        <v>290</v>
      </c>
      <c r="C18" s="176"/>
      <c r="D18" s="356"/>
      <c r="E18" s="357">
        <f>IF(H3=TRUE,AC5,
IF(K3=TRUE,AB7,""))</f>
        <v>0</v>
      </c>
      <c r="F18" s="358"/>
      <c r="G18" s="359">
        <f>IF(E18="","",Dane!C4)</f>
        <v>45</v>
      </c>
      <c r="H18" s="360"/>
      <c r="I18" s="361">
        <f>IF(E18="","",E18*G18
-IF(AB8="Polska",(E19*Dane!B5*Dane!C4+I19*Dane!B6*Dane!C4+M19*Dane!B7*Dane!C4),0))</f>
        <v>0</v>
      </c>
      <c r="J18" s="362"/>
      <c r="K18" s="363" t="s">
        <v>17</v>
      </c>
      <c r="L18" s="364"/>
      <c r="M18" s="365"/>
      <c r="N18" s="366"/>
      <c r="O18" s="129"/>
      <c r="S18" s="99"/>
    </row>
    <row r="19" spans="2:19" ht="15" customHeight="1" thickTop="1" thickBot="1" x14ac:dyDescent="0.25">
      <c r="B19" s="377" t="s">
        <v>273</v>
      </c>
      <c r="C19" s="378"/>
      <c r="D19" s="378"/>
      <c r="E19" s="352">
        <v>0</v>
      </c>
      <c r="F19" s="353"/>
      <c r="G19" s="377" t="s">
        <v>274</v>
      </c>
      <c r="H19" s="378"/>
      <c r="I19" s="352">
        <v>0</v>
      </c>
      <c r="J19" s="353"/>
      <c r="K19" s="377" t="s">
        <v>275</v>
      </c>
      <c r="L19" s="378"/>
      <c r="M19" s="352">
        <v>0</v>
      </c>
      <c r="N19" s="352"/>
      <c r="O19" s="353"/>
      <c r="S19" s="98"/>
    </row>
    <row r="20" spans="2:19" ht="28.5" customHeight="1" thickTop="1" thickBot="1" x14ac:dyDescent="0.25">
      <c r="B20" s="371" t="s">
        <v>289</v>
      </c>
      <c r="C20" s="372"/>
      <c r="D20" s="373"/>
      <c r="E20" s="374" t="str">
        <f>IF(K3=TRUE,AC6,"")</f>
        <v/>
      </c>
      <c r="F20" s="375"/>
      <c r="G20" s="359" t="str">
        <f>IF(E20="","",IF(AB8="","",VLOOKUP(AB8,Dane!B20:H134,3,FALSE)))</f>
        <v/>
      </c>
      <c r="H20" s="360"/>
      <c r="I20" s="376" t="s">
        <v>17</v>
      </c>
      <c r="J20" s="360"/>
      <c r="K20" s="361" t="str">
        <f>IF(G20="","",E20*G20
-(E19*Dane!G5*G20+I19*Dane!G6*G20+M19*Dane!G7*G20))</f>
        <v/>
      </c>
      <c r="L20" s="362"/>
      <c r="M20" s="385"/>
      <c r="N20" s="386"/>
      <c r="O20" s="115"/>
      <c r="P20" s="6"/>
    </row>
    <row r="21" spans="2:19" ht="14.25" customHeight="1" thickTop="1" thickBot="1" x14ac:dyDescent="0.25">
      <c r="B21" s="341"/>
      <c r="C21" s="342"/>
      <c r="D21" s="342"/>
      <c r="E21" s="387"/>
      <c r="F21" s="388"/>
      <c r="G21" s="341" t="s">
        <v>255</v>
      </c>
      <c r="H21" s="342"/>
      <c r="I21" s="389" t="s">
        <v>243</v>
      </c>
      <c r="J21" s="388"/>
      <c r="K21" s="389" t="str">
        <f>IF(K3=TRUE,VLOOKUP(AB8,Dane!B20:C134,2,FALSE),"")</f>
        <v/>
      </c>
      <c r="L21" s="387"/>
      <c r="M21" s="354"/>
      <c r="N21" s="355"/>
      <c r="O21" s="138"/>
      <c r="P21" s="6"/>
    </row>
    <row r="22" spans="2:19" ht="27.95" customHeight="1" thickTop="1" x14ac:dyDescent="0.2">
      <c r="B22" s="379" t="str">
        <f>"Nocleg: rachunek"&amp;IF(E22=0,"",IF(E22="","",
IF(AND(K3=TRUE,K22/E22&gt;(IF(E20="","",IF(AB8="","",VLOOKUP(AB8,Dane!B20:H134,4,FALSE)))))," - powyżej limitu",
IF(AND(H3=TRUE,I22/E22&gt;Dane!P25*Dane!P15)," - powyżej limitu",""))))&amp;"
"&amp;"Accommodation: bill"&amp;IF(E22=0,"",IF(E22="","",
IF(AND(K3=TRUE,K22/E22&gt;(IF(E20="","",IF(AB8="","",VLOOKUP(AB8,Dane!B20:H134,4,FALSE)))))," - above limit",
IF(AND(H3=TRUE,I22/E22&gt;Dane!P25*Dane!P15)," - above limit",""))))</f>
        <v>Nocleg: rachunek
Accommodation: bill</v>
      </c>
      <c r="C22" s="380"/>
      <c r="D22" s="381"/>
      <c r="E22" s="382">
        <v>0</v>
      </c>
      <c r="F22" s="383"/>
      <c r="G22" s="382"/>
      <c r="H22" s="383"/>
      <c r="I22" s="384"/>
      <c r="J22" s="383"/>
      <c r="K22" s="384"/>
      <c r="L22" s="383"/>
      <c r="M22" s="384"/>
      <c r="N22" s="383"/>
      <c r="O22" s="132"/>
    </row>
    <row r="23" spans="2:19" ht="27.95" customHeight="1" x14ac:dyDescent="0.2">
      <c r="B23" s="395" t="s">
        <v>291</v>
      </c>
      <c r="C23" s="396"/>
      <c r="D23" s="397"/>
      <c r="E23" s="398">
        <f>IF((SUM(Z5:Z13)-Z15-E22)&lt;0,0,(SUM(Z5:Z13)-Z15-E22))</f>
        <v>0</v>
      </c>
      <c r="F23" s="399"/>
      <c r="G23" s="398">
        <f>IF(E23="","",IF(AB8="Polska",Dane!P23*Dane!C4,VLOOKUP(AB8,Dane!B20:I134,8,FALSE)))</f>
        <v>67.5</v>
      </c>
      <c r="H23" s="399"/>
      <c r="I23" s="398">
        <f>IF(AND(AB8="Polska",E23&lt;&gt;""),E23*G23,
IF(AND(AB8&lt;&gt;"Polska",E23&lt;&gt;""),SUMIFS(Z5:Z13,V5:V13,"krajowa")*Dane!P23*Dane!C4))</f>
        <v>0</v>
      </c>
      <c r="J23" s="399"/>
      <c r="K23" s="400" t="str">
        <f>IF(AND(AB8&lt;&gt;"Polska",E23&lt;&gt;""),G23*(SUMIFS(Z5:Z13,V5:V13,"zagraniczna")-IF(K3=TRUE,E22,0)),"")</f>
        <v/>
      </c>
      <c r="L23" s="401"/>
      <c r="M23" s="402"/>
      <c r="N23" s="402"/>
      <c r="O23" s="133"/>
    </row>
    <row r="24" spans="2:19" ht="27.95" customHeight="1" x14ac:dyDescent="0.2">
      <c r="B24" s="390" t="s">
        <v>292</v>
      </c>
      <c r="C24" s="391"/>
      <c r="D24" s="268"/>
      <c r="E24" s="392"/>
      <c r="F24" s="393"/>
      <c r="G24" s="394"/>
      <c r="H24" s="393"/>
      <c r="I24" s="392"/>
      <c r="J24" s="393"/>
      <c r="K24" s="392"/>
      <c r="L24" s="393"/>
      <c r="M24" s="392"/>
      <c r="N24" s="393"/>
      <c r="O24" s="134"/>
    </row>
    <row r="25" spans="2:19" ht="27.95" customHeight="1" x14ac:dyDescent="0.2">
      <c r="B25" s="390" t="s">
        <v>293</v>
      </c>
      <c r="C25" s="391"/>
      <c r="D25" s="268"/>
      <c r="E25" s="394"/>
      <c r="F25" s="393"/>
      <c r="G25" s="394"/>
      <c r="H25" s="393"/>
      <c r="I25" s="392"/>
      <c r="J25" s="393"/>
      <c r="K25" s="392"/>
      <c r="L25" s="393"/>
      <c r="M25" s="392"/>
      <c r="N25" s="393"/>
      <c r="O25" s="134"/>
    </row>
    <row r="26" spans="2:19" ht="27.95" customHeight="1" x14ac:dyDescent="0.2">
      <c r="B26" s="395" t="s">
        <v>294</v>
      </c>
      <c r="C26" s="396"/>
      <c r="D26" s="397"/>
      <c r="E26" s="403"/>
      <c r="F26" s="404"/>
      <c r="G26" s="405"/>
      <c r="H26" s="404"/>
      <c r="I26" s="403"/>
      <c r="J26" s="404"/>
      <c r="K26" s="403"/>
      <c r="L26" s="404"/>
      <c r="M26" s="403"/>
      <c r="N26" s="404"/>
      <c r="O26" s="133"/>
    </row>
    <row r="27" spans="2:19" ht="27.95" customHeight="1" x14ac:dyDescent="0.2">
      <c r="B27" s="395" t="s">
        <v>295</v>
      </c>
      <c r="C27" s="396"/>
      <c r="D27" s="397"/>
      <c r="E27" s="405">
        <v>0</v>
      </c>
      <c r="F27" s="404"/>
      <c r="G27" s="398" t="str">
        <f>IF(E27="","",IF(AB8="Polska","",VLOOKUP(AB8,Dane!B20:H134,3,FALSE)))</f>
        <v/>
      </c>
      <c r="H27" s="399"/>
      <c r="I27" s="398"/>
      <c r="J27" s="399"/>
      <c r="K27" s="398" t="str">
        <f>IF(E27="","",IF(AB8="Polska","",E27*G27))</f>
        <v/>
      </c>
      <c r="L27" s="399"/>
      <c r="M27" s="403"/>
      <c r="N27" s="404"/>
      <c r="O27" s="133"/>
      <c r="R27" s="11" t="s">
        <v>244</v>
      </c>
    </row>
    <row r="28" spans="2:19" ht="27.95" customHeight="1" x14ac:dyDescent="0.2">
      <c r="B28" s="395" t="s">
        <v>296</v>
      </c>
      <c r="C28" s="396"/>
      <c r="D28" s="397"/>
      <c r="E28" s="405">
        <v>0</v>
      </c>
      <c r="F28" s="404"/>
      <c r="G28" s="398">
        <f>IF(E28="","",IF(AB8="Polska",G18*Dane!P21,Dane!P5*G20))</f>
        <v>9</v>
      </c>
      <c r="H28" s="399"/>
      <c r="I28" s="398">
        <f>IF(E28="","",IF(AB8="Polska",G28*E28,""))</f>
        <v>0</v>
      </c>
      <c r="J28" s="399"/>
      <c r="K28" s="398" t="str">
        <f>IF(E28="","",IF(AB8="Polska","",E28*G28))</f>
        <v/>
      </c>
      <c r="L28" s="399"/>
      <c r="M28" s="403"/>
      <c r="N28" s="404"/>
      <c r="O28" s="133"/>
    </row>
    <row r="29" spans="2:19" ht="27.95" customHeight="1" x14ac:dyDescent="0.2">
      <c r="B29" s="395" t="s">
        <v>297</v>
      </c>
      <c r="C29" s="396"/>
      <c r="D29" s="397"/>
      <c r="E29" s="405">
        <v>0</v>
      </c>
      <c r="F29" s="404"/>
      <c r="G29" s="409">
        <v>2</v>
      </c>
      <c r="H29" s="410"/>
      <c r="I29" s="411">
        <f>IF(E29="","",G29*E29)</f>
        <v>0</v>
      </c>
      <c r="J29" s="399"/>
      <c r="K29" s="412"/>
      <c r="L29" s="410"/>
      <c r="M29" s="409"/>
      <c r="N29" s="410"/>
      <c r="O29" s="130"/>
    </row>
    <row r="30" spans="2:19" ht="27" customHeight="1" x14ac:dyDescent="0.2">
      <c r="B30" s="406" t="s">
        <v>298</v>
      </c>
      <c r="C30" s="407"/>
      <c r="D30" s="408"/>
      <c r="E30" s="403"/>
      <c r="F30" s="404"/>
      <c r="G30" s="405"/>
      <c r="H30" s="404"/>
      <c r="I30" s="403"/>
      <c r="J30" s="404"/>
      <c r="K30" s="403"/>
      <c r="L30" s="404"/>
      <c r="M30" s="403"/>
      <c r="N30" s="404"/>
      <c r="O30" s="133"/>
    </row>
    <row r="31" spans="2:19" ht="24" customHeight="1" thickBot="1" x14ac:dyDescent="0.25">
      <c r="B31" s="423" t="s">
        <v>299</v>
      </c>
      <c r="C31" s="424"/>
      <c r="D31" s="425"/>
      <c r="E31" s="426"/>
      <c r="F31" s="427"/>
      <c r="G31" s="426"/>
      <c r="H31" s="427"/>
      <c r="I31" s="428">
        <f>SUM(I18,I20,I22:J30)</f>
        <v>0</v>
      </c>
      <c r="J31" s="429"/>
      <c r="K31" s="430">
        <f>SUM(K18,K20,K22:L30)</f>
        <v>0</v>
      </c>
      <c r="L31" s="431"/>
      <c r="M31" s="430">
        <f>SUM(M18,M20,M22:N30)</f>
        <v>0</v>
      </c>
      <c r="N31" s="431"/>
      <c r="O31" s="131">
        <f>SUM(O18,O20,O22:O30)</f>
        <v>0</v>
      </c>
      <c r="P31" s="6"/>
    </row>
    <row r="32" spans="2:19" ht="28.5" customHeight="1" thickTop="1" x14ac:dyDescent="0.2">
      <c r="B32" s="241" t="s">
        <v>267</v>
      </c>
      <c r="C32" s="242"/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177"/>
      <c r="P32" s="114"/>
    </row>
    <row r="33" spans="2:42" ht="41.25" customHeight="1" thickBot="1" x14ac:dyDescent="0.25">
      <c r="B33" s="432" t="s">
        <v>256</v>
      </c>
      <c r="C33" s="433"/>
      <c r="D33" s="433"/>
      <c r="E33" s="433"/>
      <c r="F33" s="433"/>
      <c r="G33" s="433"/>
      <c r="H33" s="433"/>
      <c r="I33" s="433"/>
      <c r="J33" s="433"/>
      <c r="K33" s="433"/>
      <c r="L33" s="433"/>
      <c r="M33" s="434" t="s">
        <v>268</v>
      </c>
      <c r="N33" s="434"/>
      <c r="O33" s="435"/>
    </row>
    <row r="34" spans="2:42" ht="16.5" thickTop="1" thickBot="1" x14ac:dyDescent="0.25">
      <c r="B34" s="413" t="s">
        <v>264</v>
      </c>
      <c r="C34" s="414"/>
      <c r="D34" s="414"/>
      <c r="E34" s="414"/>
      <c r="F34" s="414"/>
      <c r="G34" s="414"/>
      <c r="H34" s="414"/>
      <c r="I34" s="414"/>
      <c r="J34" s="414"/>
      <c r="K34" s="414"/>
      <c r="L34" s="414"/>
      <c r="M34" s="414"/>
      <c r="N34" s="414"/>
      <c r="O34" s="415"/>
    </row>
    <row r="35" spans="2:42" ht="16.5" thickTop="1" thickBot="1" x14ac:dyDescent="0.25">
      <c r="B35" s="416" t="s">
        <v>258</v>
      </c>
      <c r="C35" s="417"/>
      <c r="D35" s="418"/>
      <c r="E35" s="419" t="s">
        <v>259</v>
      </c>
      <c r="F35" s="419"/>
      <c r="G35" s="419"/>
      <c r="H35" s="420"/>
      <c r="I35" s="421" t="s">
        <v>288</v>
      </c>
      <c r="J35" s="422"/>
      <c r="K35" s="422"/>
      <c r="L35" s="422"/>
      <c r="M35" s="422"/>
      <c r="N35" s="416" t="s">
        <v>260</v>
      </c>
      <c r="O35" s="418"/>
    </row>
    <row r="36" spans="2:42" ht="22.5" customHeight="1" thickTop="1" thickBot="1" x14ac:dyDescent="0.25">
      <c r="B36" s="462"/>
      <c r="C36" s="463"/>
      <c r="D36" s="464"/>
      <c r="E36" s="465"/>
      <c r="F36" s="466"/>
      <c r="G36" s="466"/>
      <c r="H36" s="467"/>
      <c r="I36" s="468"/>
      <c r="J36" s="463"/>
      <c r="K36" s="463"/>
      <c r="L36" s="463"/>
      <c r="M36" s="464"/>
      <c r="N36" s="469"/>
      <c r="O36" s="470"/>
      <c r="AP36" s="137"/>
    </row>
    <row r="37" spans="2:42" ht="16.5" thickTop="1" thickBot="1" x14ac:dyDescent="0.25">
      <c r="B37" s="438" t="s">
        <v>261</v>
      </c>
      <c r="C37" s="419"/>
      <c r="D37" s="439"/>
      <c r="E37" s="440" t="s">
        <v>36</v>
      </c>
      <c r="F37" s="441"/>
      <c r="G37" s="441"/>
      <c r="H37" s="441"/>
      <c r="I37" s="442" t="s">
        <v>288</v>
      </c>
      <c r="J37" s="443"/>
      <c r="K37" s="443"/>
      <c r="L37" s="443"/>
      <c r="M37" s="444"/>
      <c r="N37" s="419" t="s">
        <v>260</v>
      </c>
      <c r="O37" s="420"/>
    </row>
    <row r="38" spans="2:42" ht="21" customHeight="1" thickTop="1" thickBot="1" x14ac:dyDescent="0.25">
      <c r="B38" s="471"/>
      <c r="C38" s="472"/>
      <c r="D38" s="473"/>
      <c r="E38" s="474"/>
      <c r="F38" s="475"/>
      <c r="G38" s="475"/>
      <c r="H38" s="476"/>
      <c r="I38" s="468"/>
      <c r="J38" s="463"/>
      <c r="K38" s="463"/>
      <c r="L38" s="463"/>
      <c r="M38" s="464"/>
      <c r="N38" s="463"/>
      <c r="O38" s="477"/>
    </row>
    <row r="39" spans="2:42" ht="13.5" customHeight="1" thickTop="1" thickBot="1" x14ac:dyDescent="0.25">
      <c r="B39" s="438" t="s">
        <v>262</v>
      </c>
      <c r="C39" s="419"/>
      <c r="D39" s="439"/>
      <c r="E39" s="436" t="s">
        <v>36</v>
      </c>
      <c r="F39" s="437"/>
      <c r="G39" s="437"/>
      <c r="H39" s="437"/>
      <c r="I39" s="488" t="s">
        <v>38</v>
      </c>
      <c r="J39" s="489"/>
      <c r="K39" s="489"/>
      <c r="L39" s="489"/>
      <c r="M39" s="489"/>
      <c r="N39" s="489"/>
      <c r="O39" s="490"/>
    </row>
    <row r="40" spans="2:42" ht="23.25" customHeight="1" thickTop="1" thickBot="1" x14ac:dyDescent="0.25">
      <c r="B40" s="471"/>
      <c r="C40" s="472"/>
      <c r="D40" s="473"/>
      <c r="E40" s="478"/>
      <c r="F40" s="479"/>
      <c r="G40" s="479"/>
      <c r="H40" s="480"/>
      <c r="I40" s="491"/>
      <c r="J40" s="492"/>
      <c r="K40" s="492"/>
      <c r="L40" s="492"/>
      <c r="M40" s="492"/>
      <c r="N40" s="492"/>
      <c r="O40" s="493"/>
    </row>
    <row r="41" spans="2:42" ht="12.75" customHeight="1" thickTop="1" thickBot="1" x14ac:dyDescent="0.25">
      <c r="B41" s="416" t="s">
        <v>39</v>
      </c>
      <c r="C41" s="417"/>
      <c r="D41" s="455"/>
      <c r="E41" s="440" t="s">
        <v>40</v>
      </c>
      <c r="F41" s="441"/>
      <c r="G41" s="441"/>
      <c r="H41" s="441"/>
      <c r="I41" s="456" t="s">
        <v>41</v>
      </c>
      <c r="J41" s="456"/>
      <c r="K41" s="456"/>
      <c r="L41" s="456"/>
      <c r="M41" s="457"/>
      <c r="N41" s="458" t="s">
        <v>182</v>
      </c>
      <c r="O41" s="418"/>
    </row>
    <row r="42" spans="2:42" ht="21.75" customHeight="1" thickTop="1" thickBot="1" x14ac:dyDescent="0.25">
      <c r="B42" s="481"/>
      <c r="C42" s="482"/>
      <c r="D42" s="483"/>
      <c r="E42" s="484"/>
      <c r="F42" s="485"/>
      <c r="G42" s="485"/>
      <c r="H42" s="486"/>
      <c r="I42" s="465"/>
      <c r="J42" s="466"/>
      <c r="K42" s="466"/>
      <c r="L42" s="466"/>
      <c r="M42" s="467"/>
      <c r="N42" s="485"/>
      <c r="O42" s="487"/>
    </row>
    <row r="43" spans="2:42" ht="51.75" customHeight="1" thickTop="1" thickBot="1" x14ac:dyDescent="0.25">
      <c r="B43" s="494" t="s">
        <v>265</v>
      </c>
      <c r="C43" s="441"/>
      <c r="D43" s="441"/>
      <c r="E43" s="441"/>
      <c r="F43" s="441"/>
      <c r="G43" s="441"/>
      <c r="H43" s="441"/>
      <c r="I43" s="495" t="s">
        <v>266</v>
      </c>
      <c r="J43" s="496"/>
      <c r="K43" s="496"/>
      <c r="L43" s="496"/>
      <c r="M43" s="496"/>
      <c r="N43" s="496"/>
      <c r="O43" s="497"/>
    </row>
    <row r="44" spans="2:42" ht="16.5" thickTop="1" thickBot="1" x14ac:dyDescent="0.25">
      <c r="B44" s="445" t="s">
        <v>45</v>
      </c>
      <c r="C44" s="446"/>
      <c r="D44" s="446"/>
      <c r="E44" s="446"/>
      <c r="F44" s="446"/>
      <c r="G44" s="446"/>
      <c r="H44" s="446"/>
      <c r="I44" s="447" t="s">
        <v>46</v>
      </c>
      <c r="J44" s="448"/>
      <c r="K44" s="448"/>
      <c r="L44" s="448"/>
      <c r="M44" s="448"/>
      <c r="N44" s="448"/>
      <c r="O44" s="449"/>
    </row>
    <row r="45" spans="2:42" ht="47.25" customHeight="1" thickTop="1" thickBot="1" x14ac:dyDescent="0.25">
      <c r="B45" s="450" t="s">
        <v>47</v>
      </c>
      <c r="C45" s="451"/>
      <c r="D45" s="452" t="s">
        <v>48</v>
      </c>
      <c r="E45" s="453"/>
      <c r="F45" s="453"/>
      <c r="G45" s="453"/>
      <c r="H45" s="451"/>
      <c r="I45" s="452" t="s">
        <v>49</v>
      </c>
      <c r="J45" s="453"/>
      <c r="K45" s="453"/>
      <c r="L45" s="451"/>
      <c r="M45" s="453" t="s">
        <v>50</v>
      </c>
      <c r="N45" s="453"/>
      <c r="O45" s="454"/>
    </row>
    <row r="46" spans="2:42" ht="5.25" customHeight="1" thickTop="1" x14ac:dyDescent="0.2"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</row>
    <row r="47" spans="2:42" ht="14.25" customHeight="1" x14ac:dyDescent="0.2"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</row>
    <row r="48" spans="2:42" ht="13.5" customHeight="1" x14ac:dyDescent="0.2"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</row>
  </sheetData>
  <sheetProtection algorithmName="SHA-512" hashValue="Uq8Dzw6xroEe39N2RudzfBgPrMM7GReXPZj/GiIcQmQ5tv358JrSR2bjQt20xF2KezUphpoWfseshCc8yOQ+2A==" saltValue="kbBmf93e/1DwqQBqDEgwwQ==" spinCount="100000" sheet="1" objects="1" scenarios="1"/>
  <mergeCells count="193">
    <mergeCell ref="B43:H43"/>
    <mergeCell ref="I43:O43"/>
    <mergeCell ref="B44:H44"/>
    <mergeCell ref="I44:O44"/>
    <mergeCell ref="B45:C45"/>
    <mergeCell ref="D45:H45"/>
    <mergeCell ref="I45:L45"/>
    <mergeCell ref="M45:O45"/>
    <mergeCell ref="B41:D41"/>
    <mergeCell ref="E41:H41"/>
    <mergeCell ref="I41:M41"/>
    <mergeCell ref="N41:O41"/>
    <mergeCell ref="B42:D42"/>
    <mergeCell ref="E42:H42"/>
    <mergeCell ref="I42:M42"/>
    <mergeCell ref="N42:O42"/>
    <mergeCell ref="E39:H39"/>
    <mergeCell ref="I39:O40"/>
    <mergeCell ref="B40:D40"/>
    <mergeCell ref="E40:H40"/>
    <mergeCell ref="B36:D36"/>
    <mergeCell ref="E36:H36"/>
    <mergeCell ref="I36:M36"/>
    <mergeCell ref="N36:O36"/>
    <mergeCell ref="B37:D37"/>
    <mergeCell ref="E37:H37"/>
    <mergeCell ref="I37:M37"/>
    <mergeCell ref="N37:O37"/>
    <mergeCell ref="B38:D38"/>
    <mergeCell ref="E38:H38"/>
    <mergeCell ref="I38:M38"/>
    <mergeCell ref="N38:O38"/>
    <mergeCell ref="B39:D39"/>
    <mergeCell ref="B34:O34"/>
    <mergeCell ref="B35:D35"/>
    <mergeCell ref="E35:H35"/>
    <mergeCell ref="I35:M35"/>
    <mergeCell ref="N35:O35"/>
    <mergeCell ref="B31:D31"/>
    <mergeCell ref="E31:F31"/>
    <mergeCell ref="G31:H31"/>
    <mergeCell ref="I31:J31"/>
    <mergeCell ref="K31:L31"/>
    <mergeCell ref="M31:N31"/>
    <mergeCell ref="B32:O32"/>
    <mergeCell ref="B33:L33"/>
    <mergeCell ref="M33:O33"/>
    <mergeCell ref="B30:D30"/>
    <mergeCell ref="E30:F30"/>
    <mergeCell ref="G30:H30"/>
    <mergeCell ref="I30:J30"/>
    <mergeCell ref="K30:L30"/>
    <mergeCell ref="M30:N30"/>
    <mergeCell ref="B29:D29"/>
    <mergeCell ref="E29:F29"/>
    <mergeCell ref="G29:H29"/>
    <mergeCell ref="I29:J29"/>
    <mergeCell ref="K29:L29"/>
    <mergeCell ref="M29:N29"/>
    <mergeCell ref="B28:D28"/>
    <mergeCell ref="E28:F28"/>
    <mergeCell ref="G28:H28"/>
    <mergeCell ref="I28:J28"/>
    <mergeCell ref="K28:L28"/>
    <mergeCell ref="M28:N28"/>
    <mergeCell ref="B27:D27"/>
    <mergeCell ref="E27:F27"/>
    <mergeCell ref="G27:H27"/>
    <mergeCell ref="I27:J27"/>
    <mergeCell ref="K27:L27"/>
    <mergeCell ref="M27:N27"/>
    <mergeCell ref="B26:D26"/>
    <mergeCell ref="E26:F26"/>
    <mergeCell ref="G26:H26"/>
    <mergeCell ref="I26:J26"/>
    <mergeCell ref="K26:L26"/>
    <mergeCell ref="M26:N26"/>
    <mergeCell ref="B25:D25"/>
    <mergeCell ref="E25:F25"/>
    <mergeCell ref="G25:H25"/>
    <mergeCell ref="I25:J25"/>
    <mergeCell ref="K25:L25"/>
    <mergeCell ref="M25:N25"/>
    <mergeCell ref="B24:D24"/>
    <mergeCell ref="E24:F24"/>
    <mergeCell ref="G24:H24"/>
    <mergeCell ref="I24:J24"/>
    <mergeCell ref="K24:L24"/>
    <mergeCell ref="M24:N24"/>
    <mergeCell ref="B23:D23"/>
    <mergeCell ref="E23:F23"/>
    <mergeCell ref="G23:H23"/>
    <mergeCell ref="I23:J23"/>
    <mergeCell ref="K23:L23"/>
    <mergeCell ref="M23:N23"/>
    <mergeCell ref="B22:D22"/>
    <mergeCell ref="E22:F22"/>
    <mergeCell ref="G22:H22"/>
    <mergeCell ref="I22:J22"/>
    <mergeCell ref="K22:L22"/>
    <mergeCell ref="M22:N22"/>
    <mergeCell ref="M20:N20"/>
    <mergeCell ref="B21:D21"/>
    <mergeCell ref="E21:F21"/>
    <mergeCell ref="G21:H21"/>
    <mergeCell ref="I21:J21"/>
    <mergeCell ref="K21:L21"/>
    <mergeCell ref="M19:O19"/>
    <mergeCell ref="M21:N21"/>
    <mergeCell ref="B18:D18"/>
    <mergeCell ref="E18:F18"/>
    <mergeCell ref="G18:H18"/>
    <mergeCell ref="I18:J18"/>
    <mergeCell ref="K18:L18"/>
    <mergeCell ref="M18:N18"/>
    <mergeCell ref="B17:D17"/>
    <mergeCell ref="E17:F17"/>
    <mergeCell ref="G17:H17"/>
    <mergeCell ref="I17:J17"/>
    <mergeCell ref="K17:L17"/>
    <mergeCell ref="M17:N17"/>
    <mergeCell ref="E19:F19"/>
    <mergeCell ref="B20:D20"/>
    <mergeCell ref="E20:F20"/>
    <mergeCell ref="G20:H20"/>
    <mergeCell ref="I20:J20"/>
    <mergeCell ref="K20:L20"/>
    <mergeCell ref="B19:D19"/>
    <mergeCell ref="G19:H19"/>
    <mergeCell ref="I19:J19"/>
    <mergeCell ref="K19:L19"/>
    <mergeCell ref="C15:D15"/>
    <mergeCell ref="E15:F15"/>
    <mergeCell ref="H15:I15"/>
    <mergeCell ref="J15:K15"/>
    <mergeCell ref="L15:M15"/>
    <mergeCell ref="B16:O16"/>
    <mergeCell ref="C13:D13"/>
    <mergeCell ref="E13:F13"/>
    <mergeCell ref="H13:I13"/>
    <mergeCell ref="J13:K13"/>
    <mergeCell ref="L13:M13"/>
    <mergeCell ref="B14:O14"/>
    <mergeCell ref="C11:D11"/>
    <mergeCell ref="E11:F11"/>
    <mergeCell ref="H11:I11"/>
    <mergeCell ref="J11:K11"/>
    <mergeCell ref="L11:M11"/>
    <mergeCell ref="C12:D12"/>
    <mergeCell ref="E12:F12"/>
    <mergeCell ref="H12:I12"/>
    <mergeCell ref="J12:K12"/>
    <mergeCell ref="L12:M12"/>
    <mergeCell ref="C9:D9"/>
    <mergeCell ref="E9:F9"/>
    <mergeCell ref="H9:I9"/>
    <mergeCell ref="J9:K9"/>
    <mergeCell ref="L9:M9"/>
    <mergeCell ref="C10:D10"/>
    <mergeCell ref="E10:F10"/>
    <mergeCell ref="H10:I10"/>
    <mergeCell ref="J10:K10"/>
    <mergeCell ref="L10:M10"/>
    <mergeCell ref="C7:D7"/>
    <mergeCell ref="E7:F7"/>
    <mergeCell ref="H7:I7"/>
    <mergeCell ref="J7:K7"/>
    <mergeCell ref="L7:M7"/>
    <mergeCell ref="C8:D8"/>
    <mergeCell ref="E8:F8"/>
    <mergeCell ref="H8:I8"/>
    <mergeCell ref="J8:K8"/>
    <mergeCell ref="L8:M8"/>
    <mergeCell ref="C5:D5"/>
    <mergeCell ref="E5:F5"/>
    <mergeCell ref="H5:I5"/>
    <mergeCell ref="J5:K5"/>
    <mergeCell ref="L5:M5"/>
    <mergeCell ref="C6:D6"/>
    <mergeCell ref="E6:F6"/>
    <mergeCell ref="H6:I6"/>
    <mergeCell ref="J6:K6"/>
    <mergeCell ref="L6:M6"/>
    <mergeCell ref="B2:O2"/>
    <mergeCell ref="B3:E3"/>
    <mergeCell ref="F3:G3"/>
    <mergeCell ref="I3:J3"/>
    <mergeCell ref="L3:O3"/>
    <mergeCell ref="C4:D4"/>
    <mergeCell ref="E4:F4"/>
    <mergeCell ref="H4:I4"/>
    <mergeCell ref="J4:K4"/>
    <mergeCell ref="L4:M4"/>
  </mergeCells>
  <conditionalFormatting sqref="B22:D22">
    <cfRule type="expression" dxfId="0" priority="1">
      <formula>$B$22="Nocleg: rachunek - powyżej limitu"</formula>
    </cfRule>
  </conditionalFormatting>
  <pageMargins left="0.23622047244094491" right="0.19685039370078741" top="0.31496062992125984" bottom="0.19685039370078741" header="0.11811023622047245" footer="0.11811023622047245"/>
  <pageSetup paperSize="9" scale="78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6</xdr:col>
                    <xdr:colOff>590550</xdr:colOff>
                    <xdr:row>2</xdr:row>
                    <xdr:rowOff>38100</xdr:rowOff>
                  </from>
                  <to>
                    <xdr:col>7</xdr:col>
                    <xdr:colOff>466725</xdr:colOff>
                    <xdr:row>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619125</xdr:colOff>
                    <xdr:row>2</xdr:row>
                    <xdr:rowOff>47625</xdr:rowOff>
                  </from>
                  <to>
                    <xdr:col>10</xdr:col>
                    <xdr:colOff>533400</xdr:colOff>
                    <xdr:row>2</xdr:row>
                    <xdr:rowOff>342900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Dane!$B$19:$B$134</xm:f>
          </x14:formula1>
          <xm:sqref>H15:I15 B15 B5:B13 H5:I13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2</vt:i4>
      </vt:variant>
    </vt:vector>
  </HeadingPairs>
  <TitlesOfParts>
    <vt:vector size="5" baseType="lpstr">
      <vt:lpstr>Oczekiwania</vt:lpstr>
      <vt:lpstr>Dane</vt:lpstr>
      <vt:lpstr>Rachunek kosztów</vt:lpstr>
      <vt:lpstr>Oczekiwania!Obszar_wydruku</vt:lpstr>
      <vt:lpstr>'Rachunek kosztów'!Obszar_wydruku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Tusznio</dc:creator>
  <cp:lastModifiedBy>Anna Tusznio</cp:lastModifiedBy>
  <cp:lastPrinted>2026-01-08T14:27:13Z</cp:lastPrinted>
  <dcterms:created xsi:type="dcterms:W3CDTF">2025-04-11T14:03:36Z</dcterms:created>
  <dcterms:modified xsi:type="dcterms:W3CDTF">2026-01-08T14:28:49Z</dcterms:modified>
</cp:coreProperties>
</file>